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yscouts.sharepoint.com/sites/060-PathwaytotheRockiesCouncil/Shared Documents/Popcorn/2024 Popcorn Sales/Commissions/"/>
    </mc:Choice>
  </mc:AlternateContent>
  <xr:revisionPtr revIDLastSave="1268" documentId="14_{B2771A92-B016-4EB7-BDD4-76A668639480}" xr6:coauthVersionLast="47" xr6:coauthVersionMax="47" xr10:uidLastSave="{0C7A872D-CF06-405F-A4BE-E95E258C4FF5}"/>
  <workbookProtection workbookAlgorithmName="SHA-512" workbookHashValue="ss/jUogh09dCUIPBb1w4g9OW2LLDvj/2gCd2R3/uhnYAGRDhOHOpkTwjXWhoF/yoh1Tt1C3d466fwPOveNLNOQ==" workbookSaltValue="QXnvonM9WWclcn8DsGAgHA==" workbookSpinCount="100000" lockStructure="1"/>
  <bookViews>
    <workbookView xWindow="20370" yWindow="-120" windowWidth="38640" windowHeight="21240" xr2:uid="{4554896A-2483-4DAC-A28E-955901016CF5}"/>
  </bookViews>
  <sheets>
    <sheet name="Commission Details" sheetId="7" r:id="rId1"/>
    <sheet name="Show &amp; Deliver Kit" sheetId="2" r:id="rId2"/>
    <sheet name="Storefront " sheetId="1" r:id="rId3"/>
    <sheet name="Final Order" sheetId="3" r:id="rId4"/>
    <sheet name="Data" sheetId="5" state="hidden" r:id="rId5"/>
    <sheet name="Sheet2" sheetId="8" state="hidden" r:id="rId6"/>
  </sheets>
  <definedNames>
    <definedName name="_xlnm.Print_Area" localSheetId="0">'Commission Details'!$B$1:$F$31</definedName>
    <definedName name="_xlnm.Print_Area" localSheetId="3">'Final Order'!$B$2:$H$31</definedName>
    <definedName name="_xlnm.Print_Area" localSheetId="1">'Show &amp; Deliver Kit'!$B$4:$I$29</definedName>
    <definedName name="_xlnm.Print_Area" localSheetId="2">'Storefront '!$B$3:$J$24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8" l="1"/>
  <c r="G4" i="8"/>
  <c r="G5" i="8"/>
  <c r="G6" i="8"/>
  <c r="G7" i="8"/>
  <c r="G2" i="8"/>
  <c r="F30" i="7"/>
  <c r="E5" i="8"/>
  <c r="C3" i="8"/>
  <c r="E3" i="8" s="1"/>
  <c r="C4" i="8"/>
  <c r="E4" i="8" s="1"/>
  <c r="C5" i="8"/>
  <c r="C6" i="8"/>
  <c r="E6" i="8" s="1"/>
  <c r="C7" i="8"/>
  <c r="E7" i="8" s="1"/>
  <c r="C2" i="8"/>
  <c r="E2" i="8" s="1"/>
  <c r="F23" i="7"/>
  <c r="F25" i="7" s="1"/>
  <c r="F21" i="7"/>
  <c r="M68" i="5"/>
  <c r="N68" i="5"/>
  <c r="O68" i="5"/>
  <c r="V68" i="5"/>
  <c r="W68" i="5" s="1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00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48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2" i="5"/>
  <c r="E3" i="7"/>
  <c r="E9" i="7" s="1"/>
  <c r="M17" i="5"/>
  <c r="N17" i="5"/>
  <c r="V17" i="5"/>
  <c r="W17" i="5" s="1"/>
  <c r="X17" i="5" s="1"/>
  <c r="Y17" i="5" s="1"/>
  <c r="F11" i="7"/>
  <c r="F6" i="7"/>
  <c r="E6" i="7"/>
  <c r="V2" i="5"/>
  <c r="V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F3" i="8" l="1"/>
  <c r="E8" i="8"/>
  <c r="F6" i="8" s="1"/>
  <c r="P68" i="5"/>
  <c r="Q68" i="5"/>
  <c r="R68" i="5" s="1"/>
  <c r="X68" i="5"/>
  <c r="Y68" i="5" s="1"/>
  <c r="P17" i="5"/>
  <c r="Q17" i="5" s="1"/>
  <c r="R17" i="5" s="1"/>
  <c r="F9" i="7"/>
  <c r="E13" i="7"/>
  <c r="F4" i="8" l="1"/>
  <c r="F7" i="8"/>
  <c r="F2" i="8"/>
  <c r="F5" i="8"/>
  <c r="M3" i="5" l="1"/>
  <c r="Q3" i="5" s="1"/>
  <c r="M4" i="5"/>
  <c r="Q4" i="5" s="1"/>
  <c r="M5" i="5"/>
  <c r="Q5" i="5" s="1"/>
  <c r="M6" i="5"/>
  <c r="Q6" i="5" s="1"/>
  <c r="M7" i="5"/>
  <c r="Q7" i="5" s="1"/>
  <c r="M8" i="5"/>
  <c r="Q8" i="5" s="1"/>
  <c r="M9" i="5"/>
  <c r="Q9" i="5" s="1"/>
  <c r="M10" i="5"/>
  <c r="M11" i="5"/>
  <c r="M12" i="5"/>
  <c r="M13" i="5"/>
  <c r="M14" i="5"/>
  <c r="M15" i="5"/>
  <c r="M16" i="5"/>
  <c r="M18" i="5"/>
  <c r="M19" i="5"/>
  <c r="M20" i="5"/>
  <c r="M21" i="5"/>
  <c r="M22" i="5"/>
  <c r="M23" i="5"/>
  <c r="M24" i="5"/>
  <c r="M25" i="5"/>
  <c r="M26" i="5"/>
  <c r="M27" i="5"/>
  <c r="M28" i="5"/>
  <c r="Q28" i="5" s="1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Q65" i="5" s="1"/>
  <c r="M66" i="5"/>
  <c r="Q66" i="5" s="1"/>
  <c r="M67" i="5"/>
  <c r="Q67" i="5" s="1"/>
  <c r="M69" i="5"/>
  <c r="Q69" i="5" s="1"/>
  <c r="M70" i="5"/>
  <c r="Q70" i="5" s="1"/>
  <c r="M71" i="5"/>
  <c r="Q71" i="5" s="1"/>
  <c r="M72" i="5"/>
  <c r="Q72" i="5" s="1"/>
  <c r="M73" i="5"/>
  <c r="Q73" i="5" s="1"/>
  <c r="M74" i="5"/>
  <c r="Q74" i="5" s="1"/>
  <c r="M75" i="5"/>
  <c r="Q75" i="5" s="1"/>
  <c r="M76" i="5"/>
  <c r="Q76" i="5" s="1"/>
  <c r="M77" i="5"/>
  <c r="Q77" i="5" s="1"/>
  <c r="M78" i="5"/>
  <c r="Q78" i="5" s="1"/>
  <c r="M79" i="5"/>
  <c r="Q79" i="5" s="1"/>
  <c r="M80" i="5"/>
  <c r="Q80" i="5" s="1"/>
  <c r="M81" i="5"/>
  <c r="Q81" i="5" s="1"/>
  <c r="F13" i="7" s="1"/>
  <c r="M82" i="5"/>
  <c r="Q82" i="5" s="1"/>
  <c r="M83" i="5"/>
  <c r="Q83" i="5" s="1"/>
  <c r="M84" i="5"/>
  <c r="Q84" i="5" s="1"/>
  <c r="M85" i="5"/>
  <c r="Q85" i="5" s="1"/>
  <c r="M86" i="5"/>
  <c r="Q86" i="5" s="1"/>
  <c r="M87" i="5"/>
  <c r="Q87" i="5" s="1"/>
  <c r="M88" i="5"/>
  <c r="Q88" i="5" s="1"/>
  <c r="M89" i="5"/>
  <c r="Q89" i="5" s="1"/>
  <c r="M90" i="5"/>
  <c r="Q90" i="5" s="1"/>
  <c r="M91" i="5"/>
  <c r="Q91" i="5" s="1"/>
  <c r="M92" i="5"/>
  <c r="Q92" i="5" s="1"/>
  <c r="M93" i="5"/>
  <c r="Q93" i="5" s="1"/>
  <c r="M94" i="5"/>
  <c r="Q94" i="5" s="1"/>
  <c r="M95" i="5"/>
  <c r="Q95" i="5" s="1"/>
  <c r="M96" i="5"/>
  <c r="Q96" i="5" s="1"/>
  <c r="M97" i="5"/>
  <c r="Q97" i="5" s="1"/>
  <c r="M98" i="5"/>
  <c r="Q98" i="5" s="1"/>
  <c r="M99" i="5"/>
  <c r="Q99" i="5" s="1"/>
  <c r="M100" i="5"/>
  <c r="Q100" i="5" s="1"/>
  <c r="M101" i="5"/>
  <c r="Q101" i="5" s="1"/>
  <c r="M102" i="5"/>
  <c r="Q102" i="5" s="1"/>
  <c r="M103" i="5"/>
  <c r="Q103" i="5" s="1"/>
  <c r="M104" i="5"/>
  <c r="Q104" i="5" s="1"/>
  <c r="M105" i="5"/>
  <c r="Q105" i="5" s="1"/>
  <c r="M106" i="5"/>
  <c r="Q106" i="5" s="1"/>
  <c r="M107" i="5"/>
  <c r="Q107" i="5" s="1"/>
  <c r="M108" i="5"/>
  <c r="Q108" i="5" s="1"/>
  <c r="M109" i="5"/>
  <c r="Q109" i="5" s="1"/>
  <c r="M110" i="5"/>
  <c r="Q110" i="5" s="1"/>
  <c r="M111" i="5"/>
  <c r="Q111" i="5" s="1"/>
  <c r="M112" i="5"/>
  <c r="Q112" i="5" s="1"/>
  <c r="M113" i="5"/>
  <c r="Q113" i="5" s="1"/>
  <c r="M114" i="5"/>
  <c r="Q114" i="5" s="1"/>
  <c r="M115" i="5"/>
  <c r="Q115" i="5" s="1"/>
  <c r="M116" i="5"/>
  <c r="Q116" i="5" s="1"/>
  <c r="M117" i="5"/>
  <c r="Q117" i="5" s="1"/>
  <c r="M118" i="5"/>
  <c r="Q118" i="5" s="1"/>
  <c r="M119" i="5"/>
  <c r="Q119" i="5" s="1"/>
  <c r="M120" i="5"/>
  <c r="Q120" i="5" s="1"/>
  <c r="M121" i="5"/>
  <c r="Q121" i="5" s="1"/>
  <c r="M122" i="5"/>
  <c r="Q122" i="5" s="1"/>
  <c r="M123" i="5"/>
  <c r="Q123" i="5" s="1"/>
  <c r="M124" i="5"/>
  <c r="Q124" i="5" s="1"/>
  <c r="M125" i="5"/>
  <c r="Q125" i="5" s="1"/>
  <c r="M126" i="5"/>
  <c r="Q126" i="5" s="1"/>
  <c r="M127" i="5"/>
  <c r="Q127" i="5" s="1"/>
  <c r="M128" i="5"/>
  <c r="Q128" i="5" s="1"/>
  <c r="M129" i="5"/>
  <c r="Q129" i="5" s="1"/>
  <c r="M130" i="5"/>
  <c r="Q130" i="5" s="1"/>
  <c r="M131" i="5"/>
  <c r="Q131" i="5" s="1"/>
  <c r="M132" i="5"/>
  <c r="Q132" i="5" s="1"/>
  <c r="M133" i="5"/>
  <c r="Q133" i="5" s="1"/>
  <c r="M134" i="5"/>
  <c r="Q134" i="5" s="1"/>
  <c r="M135" i="5"/>
  <c r="Q135" i="5" s="1"/>
  <c r="M136" i="5"/>
  <c r="Q136" i="5" s="1"/>
  <c r="M137" i="5"/>
  <c r="Q137" i="5" s="1"/>
  <c r="M138" i="5"/>
  <c r="Q138" i="5" s="1"/>
  <c r="M139" i="5"/>
  <c r="Q139" i="5" s="1"/>
  <c r="M140" i="5"/>
  <c r="Q140" i="5" s="1"/>
  <c r="N3" i="5"/>
  <c r="P3" i="5" s="1"/>
  <c r="N4" i="5"/>
  <c r="P4" i="5" s="1"/>
  <c r="N5" i="5"/>
  <c r="P5" i="5" s="1"/>
  <c r="N6" i="5"/>
  <c r="P6" i="5" s="1"/>
  <c r="N7" i="5"/>
  <c r="P7" i="5" s="1"/>
  <c r="N8" i="5"/>
  <c r="P8" i="5" s="1"/>
  <c r="N9" i="5"/>
  <c r="P9" i="5" s="1"/>
  <c r="N10" i="5"/>
  <c r="P10" i="5" s="1"/>
  <c r="Q10" i="5" s="1"/>
  <c r="N11" i="5"/>
  <c r="P11" i="5" s="1"/>
  <c r="Q11" i="5" s="1"/>
  <c r="N12" i="5"/>
  <c r="P12" i="5" s="1"/>
  <c r="Q12" i="5" s="1"/>
  <c r="N13" i="5"/>
  <c r="P13" i="5" s="1"/>
  <c r="Q13" i="5" s="1"/>
  <c r="N14" i="5"/>
  <c r="P14" i="5" s="1"/>
  <c r="Q14" i="5" s="1"/>
  <c r="N15" i="5"/>
  <c r="P15" i="5" s="1"/>
  <c r="Q15" i="5" s="1"/>
  <c r="N16" i="5"/>
  <c r="P16" i="5" s="1"/>
  <c r="Q16" i="5" s="1"/>
  <c r="N18" i="5"/>
  <c r="P18" i="5" s="1"/>
  <c r="Q18" i="5" s="1"/>
  <c r="N19" i="5"/>
  <c r="P19" i="5" s="1"/>
  <c r="Q19" i="5" s="1"/>
  <c r="N20" i="5"/>
  <c r="P20" i="5" s="1"/>
  <c r="Q20" i="5" s="1"/>
  <c r="N21" i="5"/>
  <c r="P21" i="5" s="1"/>
  <c r="Q21" i="5" s="1"/>
  <c r="N22" i="5"/>
  <c r="P22" i="5" s="1"/>
  <c r="Q22" i="5" s="1"/>
  <c r="N23" i="5"/>
  <c r="P23" i="5" s="1"/>
  <c r="Q23" i="5" s="1"/>
  <c r="N24" i="5"/>
  <c r="P24" i="5" s="1"/>
  <c r="Q24" i="5" s="1"/>
  <c r="N25" i="5"/>
  <c r="P25" i="5" s="1"/>
  <c r="Q25" i="5" s="1"/>
  <c r="N26" i="5"/>
  <c r="P26" i="5" s="1"/>
  <c r="Q26" i="5" s="1"/>
  <c r="N27" i="5"/>
  <c r="P27" i="5" s="1"/>
  <c r="Q27" i="5" s="1"/>
  <c r="N28" i="5"/>
  <c r="P28" i="5" s="1"/>
  <c r="N29" i="5"/>
  <c r="P29" i="5" s="1"/>
  <c r="Q29" i="5" s="1"/>
  <c r="N30" i="5"/>
  <c r="P30" i="5" s="1"/>
  <c r="Q30" i="5" s="1"/>
  <c r="N31" i="5"/>
  <c r="P31" i="5" s="1"/>
  <c r="Q31" i="5" s="1"/>
  <c r="N32" i="5"/>
  <c r="P32" i="5" s="1"/>
  <c r="Q32" i="5" s="1"/>
  <c r="N33" i="5"/>
  <c r="P33" i="5" s="1"/>
  <c r="Q33" i="5" s="1"/>
  <c r="N34" i="5"/>
  <c r="P34" i="5" s="1"/>
  <c r="Q34" i="5" s="1"/>
  <c r="N35" i="5"/>
  <c r="P35" i="5" s="1"/>
  <c r="Q35" i="5" s="1"/>
  <c r="N36" i="5"/>
  <c r="P36" i="5" s="1"/>
  <c r="Q36" i="5" s="1"/>
  <c r="N37" i="5"/>
  <c r="P37" i="5" s="1"/>
  <c r="Q37" i="5" s="1"/>
  <c r="N38" i="5"/>
  <c r="P38" i="5" s="1"/>
  <c r="Q38" i="5" s="1"/>
  <c r="N39" i="5"/>
  <c r="P39" i="5" s="1"/>
  <c r="Q39" i="5" s="1"/>
  <c r="N40" i="5"/>
  <c r="P40" i="5" s="1"/>
  <c r="Q40" i="5" s="1"/>
  <c r="N41" i="5"/>
  <c r="P41" i="5" s="1"/>
  <c r="Q41" i="5" s="1"/>
  <c r="N42" i="5"/>
  <c r="P42" i="5" s="1"/>
  <c r="Q42" i="5" s="1"/>
  <c r="N43" i="5"/>
  <c r="P43" i="5" s="1"/>
  <c r="Q43" i="5" s="1"/>
  <c r="N44" i="5"/>
  <c r="P44" i="5" s="1"/>
  <c r="Q44" i="5" s="1"/>
  <c r="N45" i="5"/>
  <c r="P45" i="5" s="1"/>
  <c r="Q45" i="5" s="1"/>
  <c r="N46" i="5"/>
  <c r="P46" i="5" s="1"/>
  <c r="Q46" i="5" s="1"/>
  <c r="N47" i="5"/>
  <c r="P47" i="5" s="1"/>
  <c r="Q47" i="5" s="1"/>
  <c r="N48" i="5"/>
  <c r="P48" i="5" s="1"/>
  <c r="Q48" i="5" s="1"/>
  <c r="N49" i="5"/>
  <c r="P49" i="5" s="1"/>
  <c r="Q49" i="5" s="1"/>
  <c r="N50" i="5"/>
  <c r="P50" i="5" s="1"/>
  <c r="Q50" i="5" s="1"/>
  <c r="N51" i="5"/>
  <c r="P51" i="5" s="1"/>
  <c r="Q51" i="5" s="1"/>
  <c r="N52" i="5"/>
  <c r="P52" i="5" s="1"/>
  <c r="Q52" i="5" s="1"/>
  <c r="N53" i="5"/>
  <c r="P53" i="5" s="1"/>
  <c r="Q53" i="5" s="1"/>
  <c r="N54" i="5"/>
  <c r="P54" i="5" s="1"/>
  <c r="Q54" i="5" s="1"/>
  <c r="N55" i="5"/>
  <c r="P55" i="5" s="1"/>
  <c r="Q55" i="5" s="1"/>
  <c r="N56" i="5"/>
  <c r="P56" i="5" s="1"/>
  <c r="Q56" i="5" s="1"/>
  <c r="N57" i="5"/>
  <c r="P57" i="5" s="1"/>
  <c r="Q57" i="5" s="1"/>
  <c r="N58" i="5"/>
  <c r="P58" i="5" s="1"/>
  <c r="Q58" i="5" s="1"/>
  <c r="N59" i="5"/>
  <c r="P59" i="5" s="1"/>
  <c r="Q59" i="5" s="1"/>
  <c r="N60" i="5"/>
  <c r="P60" i="5" s="1"/>
  <c r="Q60" i="5" s="1"/>
  <c r="N61" i="5"/>
  <c r="P61" i="5" s="1"/>
  <c r="Q61" i="5" s="1"/>
  <c r="N62" i="5"/>
  <c r="P62" i="5" s="1"/>
  <c r="Q62" i="5" s="1"/>
  <c r="N63" i="5"/>
  <c r="P63" i="5" s="1"/>
  <c r="Q63" i="5" s="1"/>
  <c r="N64" i="5"/>
  <c r="P64" i="5" s="1"/>
  <c r="Q64" i="5" s="1"/>
  <c r="N65" i="5"/>
  <c r="P65" i="5" s="1"/>
  <c r="N66" i="5"/>
  <c r="P66" i="5" s="1"/>
  <c r="N67" i="5"/>
  <c r="P67" i="5" s="1"/>
  <c r="N69" i="5"/>
  <c r="P69" i="5" s="1"/>
  <c r="N70" i="5"/>
  <c r="P70" i="5" s="1"/>
  <c r="N71" i="5"/>
  <c r="P71" i="5" s="1"/>
  <c r="N72" i="5"/>
  <c r="P72" i="5" s="1"/>
  <c r="N73" i="5"/>
  <c r="P73" i="5" s="1"/>
  <c r="N74" i="5"/>
  <c r="P74" i="5" s="1"/>
  <c r="N75" i="5"/>
  <c r="P75" i="5" s="1"/>
  <c r="N76" i="5"/>
  <c r="P76" i="5" s="1"/>
  <c r="N77" i="5"/>
  <c r="P77" i="5" s="1"/>
  <c r="N78" i="5"/>
  <c r="P78" i="5" s="1"/>
  <c r="N79" i="5"/>
  <c r="P79" i="5" s="1"/>
  <c r="N80" i="5"/>
  <c r="P80" i="5" s="1"/>
  <c r="N81" i="5"/>
  <c r="P81" i="5" s="1"/>
  <c r="N82" i="5"/>
  <c r="P82" i="5" s="1"/>
  <c r="N83" i="5"/>
  <c r="P83" i="5" s="1"/>
  <c r="N84" i="5"/>
  <c r="P84" i="5" s="1"/>
  <c r="N85" i="5"/>
  <c r="P85" i="5" s="1"/>
  <c r="N86" i="5"/>
  <c r="P86" i="5" s="1"/>
  <c r="N87" i="5"/>
  <c r="P87" i="5" s="1"/>
  <c r="N88" i="5"/>
  <c r="P88" i="5" s="1"/>
  <c r="N89" i="5"/>
  <c r="P89" i="5" s="1"/>
  <c r="N90" i="5"/>
  <c r="P90" i="5" s="1"/>
  <c r="N91" i="5"/>
  <c r="P91" i="5" s="1"/>
  <c r="N92" i="5"/>
  <c r="P92" i="5" s="1"/>
  <c r="N93" i="5"/>
  <c r="P93" i="5" s="1"/>
  <c r="N94" i="5"/>
  <c r="P94" i="5" s="1"/>
  <c r="N95" i="5"/>
  <c r="P95" i="5" s="1"/>
  <c r="N96" i="5"/>
  <c r="P96" i="5" s="1"/>
  <c r="N97" i="5"/>
  <c r="P97" i="5" s="1"/>
  <c r="N98" i="5"/>
  <c r="P98" i="5" s="1"/>
  <c r="N99" i="5"/>
  <c r="P99" i="5" s="1"/>
  <c r="N100" i="5"/>
  <c r="R100" i="5" s="1"/>
  <c r="N101" i="5"/>
  <c r="P101" i="5" s="1"/>
  <c r="N102" i="5"/>
  <c r="P102" i="5" s="1"/>
  <c r="N103" i="5"/>
  <c r="P103" i="5" s="1"/>
  <c r="N104" i="5"/>
  <c r="P104" i="5" s="1"/>
  <c r="N105" i="5"/>
  <c r="P105" i="5" s="1"/>
  <c r="N106" i="5"/>
  <c r="P106" i="5" s="1"/>
  <c r="N107" i="5"/>
  <c r="P107" i="5" s="1"/>
  <c r="N108" i="5"/>
  <c r="P108" i="5" s="1"/>
  <c r="N109" i="5"/>
  <c r="P109" i="5" s="1"/>
  <c r="N110" i="5"/>
  <c r="P110" i="5" s="1"/>
  <c r="N111" i="5"/>
  <c r="P111" i="5" s="1"/>
  <c r="N112" i="5"/>
  <c r="P112" i="5" s="1"/>
  <c r="N113" i="5"/>
  <c r="P113" i="5" s="1"/>
  <c r="N114" i="5"/>
  <c r="P114" i="5" s="1"/>
  <c r="N115" i="5"/>
  <c r="P115" i="5" s="1"/>
  <c r="N116" i="5"/>
  <c r="P116" i="5" s="1"/>
  <c r="N117" i="5"/>
  <c r="P117" i="5" s="1"/>
  <c r="N118" i="5"/>
  <c r="P118" i="5" s="1"/>
  <c r="N119" i="5"/>
  <c r="P119" i="5" s="1"/>
  <c r="N120" i="5"/>
  <c r="P120" i="5" s="1"/>
  <c r="N121" i="5"/>
  <c r="P121" i="5" s="1"/>
  <c r="N122" i="5"/>
  <c r="P122" i="5" s="1"/>
  <c r="N123" i="5"/>
  <c r="P123" i="5" s="1"/>
  <c r="N124" i="5"/>
  <c r="P124" i="5" s="1"/>
  <c r="N125" i="5"/>
  <c r="P125" i="5" s="1"/>
  <c r="N126" i="5"/>
  <c r="P126" i="5" s="1"/>
  <c r="N127" i="5"/>
  <c r="P127" i="5" s="1"/>
  <c r="N128" i="5"/>
  <c r="P128" i="5" s="1"/>
  <c r="N129" i="5"/>
  <c r="P129" i="5" s="1"/>
  <c r="N130" i="5"/>
  <c r="P130" i="5" s="1"/>
  <c r="N131" i="5"/>
  <c r="P131" i="5" s="1"/>
  <c r="N132" i="5"/>
  <c r="P132" i="5" s="1"/>
  <c r="N133" i="5"/>
  <c r="P133" i="5" s="1"/>
  <c r="N134" i="5"/>
  <c r="P134" i="5" s="1"/>
  <c r="N135" i="5"/>
  <c r="P135" i="5" s="1"/>
  <c r="N136" i="5"/>
  <c r="P136" i="5" s="1"/>
  <c r="N137" i="5"/>
  <c r="P137" i="5" s="1"/>
  <c r="N138" i="5"/>
  <c r="P138" i="5" s="1"/>
  <c r="N139" i="5"/>
  <c r="P139" i="5" s="1"/>
  <c r="N140" i="5"/>
  <c r="P140" i="5" s="1"/>
  <c r="N2" i="5"/>
  <c r="P2" i="5" s="1"/>
  <c r="M2" i="5"/>
  <c r="Q2" i="5" s="1"/>
  <c r="W100" i="5"/>
  <c r="W48" i="5"/>
  <c r="X48" i="5" s="1"/>
  <c r="Y48" i="5" s="1"/>
  <c r="P100" i="5" l="1"/>
  <c r="R48" i="5"/>
  <c r="X100" i="5"/>
  <c r="Y100" i="5" s="1"/>
  <c r="W111" i="5"/>
  <c r="W12" i="5"/>
  <c r="X12" i="5" s="1"/>
  <c r="Y12" i="5" s="1"/>
  <c r="R12" i="5" l="1"/>
  <c r="R111" i="5"/>
  <c r="X111" i="5"/>
  <c r="Y111" i="5" s="1"/>
  <c r="W64" i="5"/>
  <c r="X64" i="5" s="1"/>
  <c r="Y64" i="5" s="1"/>
  <c r="W138" i="5"/>
  <c r="X138" i="5" s="1"/>
  <c r="Y138" i="5" s="1"/>
  <c r="W137" i="5"/>
  <c r="W134" i="5"/>
  <c r="X134" i="5" s="1"/>
  <c r="Y134" i="5" s="1"/>
  <c r="W132" i="5"/>
  <c r="W130" i="5"/>
  <c r="X130" i="5" s="1"/>
  <c r="Y130" i="5" s="1"/>
  <c r="W128" i="5"/>
  <c r="W126" i="5"/>
  <c r="X126" i="5" s="1"/>
  <c r="Y126" i="5" s="1"/>
  <c r="W124" i="5"/>
  <c r="W122" i="5"/>
  <c r="X122" i="5" s="1"/>
  <c r="Y122" i="5" s="1"/>
  <c r="R120" i="5"/>
  <c r="W118" i="5"/>
  <c r="X118" i="5" s="1"/>
  <c r="Y118" i="5" s="1"/>
  <c r="W117" i="5"/>
  <c r="X117" i="5" s="1"/>
  <c r="Y117" i="5" s="1"/>
  <c r="W114" i="5"/>
  <c r="X114" i="5" s="1"/>
  <c r="Y114" i="5" s="1"/>
  <c r="W113" i="5"/>
  <c r="X113" i="5" s="1"/>
  <c r="Y113" i="5" s="1"/>
  <c r="W109" i="5"/>
  <c r="X109" i="5" s="1"/>
  <c r="Y109" i="5" s="1"/>
  <c r="W108" i="5"/>
  <c r="X108" i="5" s="1"/>
  <c r="Y108" i="5" s="1"/>
  <c r="W105" i="5"/>
  <c r="X105" i="5" s="1"/>
  <c r="Y105" i="5" s="1"/>
  <c r="W101" i="5"/>
  <c r="X101" i="5" s="1"/>
  <c r="Y101" i="5" s="1"/>
  <c r="W96" i="5"/>
  <c r="X96" i="5" s="1"/>
  <c r="Y96" i="5" s="1"/>
  <c r="W95" i="5"/>
  <c r="X95" i="5" s="1"/>
  <c r="Y95" i="5" s="1"/>
  <c r="W92" i="5"/>
  <c r="X92" i="5" s="1"/>
  <c r="Y92" i="5" s="1"/>
  <c r="W91" i="5"/>
  <c r="X91" i="5" s="1"/>
  <c r="Y91" i="5" s="1"/>
  <c r="W90" i="5"/>
  <c r="W88" i="5"/>
  <c r="X88" i="5" s="1"/>
  <c r="Y88" i="5" s="1"/>
  <c r="W87" i="5"/>
  <c r="X87" i="5" s="1"/>
  <c r="Y87" i="5" s="1"/>
  <c r="W86" i="5"/>
  <c r="W84" i="5"/>
  <c r="X84" i="5" s="1"/>
  <c r="Y84" i="5" s="1"/>
  <c r="W83" i="5"/>
  <c r="X83" i="5" s="1"/>
  <c r="Y83" i="5" s="1"/>
  <c r="W82" i="5"/>
  <c r="W80" i="5"/>
  <c r="X80" i="5" s="1"/>
  <c r="Y80" i="5" s="1"/>
  <c r="W78" i="5"/>
  <c r="X78" i="5" s="1"/>
  <c r="Y78" i="5" s="1"/>
  <c r="W79" i="5"/>
  <c r="W76" i="5"/>
  <c r="X76" i="5" s="1"/>
  <c r="Y76" i="5" s="1"/>
  <c r="W75" i="5"/>
  <c r="X75" i="5" s="1"/>
  <c r="Y75" i="5" s="1"/>
  <c r="W72" i="5"/>
  <c r="X72" i="5" s="1"/>
  <c r="Y72" i="5" s="1"/>
  <c r="W71" i="5"/>
  <c r="W66" i="5"/>
  <c r="X66" i="5" s="1"/>
  <c r="Y66" i="5" s="1"/>
  <c r="W65" i="5"/>
  <c r="X65" i="5" s="1"/>
  <c r="Y65" i="5" s="1"/>
  <c r="W61" i="5"/>
  <c r="X61" i="5" s="1"/>
  <c r="Y61" i="5" s="1"/>
  <c r="W60" i="5"/>
  <c r="X60" i="5" s="1"/>
  <c r="Y60" i="5" s="1"/>
  <c r="W57" i="5"/>
  <c r="X57" i="5" s="1"/>
  <c r="Y57" i="5" s="1"/>
  <c r="W56" i="5"/>
  <c r="X56" i="5" s="1"/>
  <c r="Y56" i="5" s="1"/>
  <c r="W53" i="5"/>
  <c r="X53" i="5" s="1"/>
  <c r="Y53" i="5" s="1"/>
  <c r="W52" i="5"/>
  <c r="X52" i="5" s="1"/>
  <c r="Y52" i="5" s="1"/>
  <c r="W49" i="5"/>
  <c r="X49" i="5" s="1"/>
  <c r="Y49" i="5" s="1"/>
  <c r="W47" i="5"/>
  <c r="X47" i="5" s="1"/>
  <c r="Y47" i="5" s="1"/>
  <c r="W44" i="5"/>
  <c r="X44" i="5" s="1"/>
  <c r="Y44" i="5" s="1"/>
  <c r="W43" i="5"/>
  <c r="X43" i="5" s="1"/>
  <c r="Y43" i="5" s="1"/>
  <c r="W40" i="5"/>
  <c r="X40" i="5" s="1"/>
  <c r="Y40" i="5" s="1"/>
  <c r="W39" i="5"/>
  <c r="X39" i="5" s="1"/>
  <c r="Y39" i="5" s="1"/>
  <c r="W36" i="5"/>
  <c r="X36" i="5" s="1"/>
  <c r="Y36" i="5" s="1"/>
  <c r="W35" i="5"/>
  <c r="X35" i="5" s="1"/>
  <c r="Y35" i="5" s="1"/>
  <c r="W32" i="5"/>
  <c r="X32" i="5" s="1"/>
  <c r="Y32" i="5" s="1"/>
  <c r="W31" i="5"/>
  <c r="X31" i="5" s="1"/>
  <c r="Y31" i="5" s="1"/>
  <c r="W28" i="5"/>
  <c r="X28" i="5" s="1"/>
  <c r="Y28" i="5" s="1"/>
  <c r="W27" i="5"/>
  <c r="X27" i="5" s="1"/>
  <c r="Y27" i="5" s="1"/>
  <c r="W24" i="5"/>
  <c r="X24" i="5" s="1"/>
  <c r="Y24" i="5" s="1"/>
  <c r="W23" i="5"/>
  <c r="X23" i="5" s="1"/>
  <c r="Y23" i="5" s="1"/>
  <c r="W20" i="5"/>
  <c r="X20" i="5" s="1"/>
  <c r="Y20" i="5" s="1"/>
  <c r="W19" i="5"/>
  <c r="X19" i="5" s="1"/>
  <c r="Y19" i="5" s="1"/>
  <c r="W15" i="5"/>
  <c r="X15" i="5" s="1"/>
  <c r="Y15" i="5" s="1"/>
  <c r="W14" i="5"/>
  <c r="X14" i="5" s="1"/>
  <c r="Y14" i="5" s="1"/>
  <c r="W10" i="5"/>
  <c r="X10" i="5" s="1"/>
  <c r="Y10" i="5" s="1"/>
  <c r="W6" i="5"/>
  <c r="X6" i="5" s="1"/>
  <c r="Y6" i="5" s="1"/>
  <c r="W2" i="5"/>
  <c r="X2" i="5" s="1"/>
  <c r="Y2" i="5" s="1"/>
  <c r="R60" i="5" l="1"/>
  <c r="R79" i="5"/>
  <c r="R86" i="5"/>
  <c r="R94" i="5"/>
  <c r="R107" i="5"/>
  <c r="R112" i="5"/>
  <c r="R116" i="5"/>
  <c r="R64" i="5"/>
  <c r="R22" i="5"/>
  <c r="R26" i="5"/>
  <c r="R30" i="5"/>
  <c r="R38" i="5"/>
  <c r="R46" i="5"/>
  <c r="R55" i="5"/>
  <c r="R59" i="5"/>
  <c r="R73" i="5"/>
  <c r="R77" i="5"/>
  <c r="R89" i="5"/>
  <c r="R93" i="5"/>
  <c r="R97" i="5"/>
  <c r="R106" i="5"/>
  <c r="R110" i="5"/>
  <c r="R115" i="5"/>
  <c r="R119" i="5"/>
  <c r="R53" i="5"/>
  <c r="R78" i="5"/>
  <c r="R87" i="5"/>
  <c r="R140" i="5"/>
  <c r="R139" i="5"/>
  <c r="R14" i="5"/>
  <c r="R19" i="5"/>
  <c r="R11" i="5"/>
  <c r="R21" i="5"/>
  <c r="R25" i="5"/>
  <c r="R37" i="5"/>
  <c r="R41" i="5"/>
  <c r="R84" i="5"/>
  <c r="R33" i="5"/>
  <c r="R50" i="5"/>
  <c r="R58" i="5"/>
  <c r="R4" i="5"/>
  <c r="R18" i="5"/>
  <c r="R27" i="5"/>
  <c r="R35" i="5"/>
  <c r="R43" i="5"/>
  <c r="R52" i="5"/>
  <c r="R56" i="5"/>
  <c r="R57" i="5"/>
  <c r="R61" i="5"/>
  <c r="R71" i="5"/>
  <c r="R76" i="5"/>
  <c r="R81" i="5"/>
  <c r="R85" i="5"/>
  <c r="R92" i="5"/>
  <c r="R95" i="5"/>
  <c r="R113" i="5"/>
  <c r="R117" i="5"/>
  <c r="R137" i="5"/>
  <c r="R138" i="5"/>
  <c r="R15" i="5"/>
  <c r="R63" i="5"/>
  <c r="R102" i="5"/>
  <c r="R32" i="5"/>
  <c r="R49" i="5"/>
  <c r="R54" i="5"/>
  <c r="R72" i="5"/>
  <c r="R80" i="5"/>
  <c r="R88" i="5"/>
  <c r="R105" i="5"/>
  <c r="R69" i="5"/>
  <c r="R7" i="5"/>
  <c r="R10" i="5"/>
  <c r="R16" i="5"/>
  <c r="R24" i="5"/>
  <c r="R29" i="5"/>
  <c r="R40" i="5"/>
  <c r="R45" i="5"/>
  <c r="R51" i="5"/>
  <c r="R66" i="5"/>
  <c r="R75" i="5"/>
  <c r="R82" i="5"/>
  <c r="R83" i="5"/>
  <c r="R90" i="5"/>
  <c r="R91" i="5"/>
  <c r="R98" i="5"/>
  <c r="R108" i="5"/>
  <c r="R123" i="5"/>
  <c r="R127" i="5"/>
  <c r="R131" i="5"/>
  <c r="R135" i="5"/>
  <c r="R6" i="5"/>
  <c r="W9" i="5"/>
  <c r="X9" i="5" s="1"/>
  <c r="Y9" i="5" s="1"/>
  <c r="R62" i="5"/>
  <c r="R101" i="5"/>
  <c r="W104" i="5"/>
  <c r="X104" i="5" s="1"/>
  <c r="Y104" i="5" s="1"/>
  <c r="R126" i="5"/>
  <c r="R2" i="5"/>
  <c r="W5" i="5"/>
  <c r="X5" i="5" s="1"/>
  <c r="Y5" i="5" s="1"/>
  <c r="R9" i="5"/>
  <c r="R13" i="5"/>
  <c r="R20" i="5"/>
  <c r="R28" i="5"/>
  <c r="R34" i="5"/>
  <c r="R36" i="5"/>
  <c r="R42" i="5"/>
  <c r="R44" i="5"/>
  <c r="X71" i="5"/>
  <c r="Y71" i="5" s="1"/>
  <c r="R74" i="5"/>
  <c r="R96" i="5"/>
  <c r="W99" i="5"/>
  <c r="X99" i="5" s="1"/>
  <c r="Y99" i="5" s="1"/>
  <c r="R104" i="5"/>
  <c r="R114" i="5"/>
  <c r="R118" i="5"/>
  <c r="W121" i="5"/>
  <c r="X121" i="5" s="1"/>
  <c r="Y121" i="5" s="1"/>
  <c r="W125" i="5"/>
  <c r="X125" i="5" s="1"/>
  <c r="Y125" i="5" s="1"/>
  <c r="W129" i="5"/>
  <c r="X129" i="5" s="1"/>
  <c r="Y129" i="5" s="1"/>
  <c r="W133" i="5"/>
  <c r="X133" i="5" s="1"/>
  <c r="Y133" i="5" s="1"/>
  <c r="X137" i="5"/>
  <c r="Y137" i="5" s="1"/>
  <c r="R67" i="5"/>
  <c r="R122" i="5"/>
  <c r="R130" i="5"/>
  <c r="R134" i="5"/>
  <c r="R5" i="5"/>
  <c r="R8" i="5"/>
  <c r="R23" i="5"/>
  <c r="R31" i="5"/>
  <c r="R39" i="5"/>
  <c r="R47" i="5"/>
  <c r="R65" i="5"/>
  <c r="R70" i="5"/>
  <c r="R99" i="5"/>
  <c r="R103" i="5"/>
  <c r="R109" i="5"/>
  <c r="W116" i="5"/>
  <c r="X116" i="5" s="1"/>
  <c r="Y116" i="5" s="1"/>
  <c r="R121" i="5"/>
  <c r="R124" i="5"/>
  <c r="R125" i="5"/>
  <c r="R128" i="5"/>
  <c r="R129" i="5"/>
  <c r="R132" i="5"/>
  <c r="R133" i="5"/>
  <c r="R136" i="5"/>
  <c r="W58" i="5"/>
  <c r="X58" i="5" s="1"/>
  <c r="Y58" i="5" s="1"/>
  <c r="W67" i="5"/>
  <c r="X67" i="5" s="1"/>
  <c r="Y67" i="5" s="1"/>
  <c r="W3" i="5"/>
  <c r="X3" i="5" s="1"/>
  <c r="Y3" i="5" s="1"/>
  <c r="W7" i="5"/>
  <c r="X7" i="5" s="1"/>
  <c r="Y7" i="5" s="1"/>
  <c r="W11" i="5"/>
  <c r="X11" i="5" s="1"/>
  <c r="Y11" i="5" s="1"/>
  <c r="W16" i="5"/>
  <c r="X16" i="5" s="1"/>
  <c r="Y16" i="5" s="1"/>
  <c r="W21" i="5"/>
  <c r="X21" i="5" s="1"/>
  <c r="Y21" i="5" s="1"/>
  <c r="W22" i="5"/>
  <c r="X22" i="5" s="1"/>
  <c r="Y22" i="5" s="1"/>
  <c r="W26" i="5"/>
  <c r="X26" i="5" s="1"/>
  <c r="Y26" i="5" s="1"/>
  <c r="W30" i="5"/>
  <c r="X30" i="5" s="1"/>
  <c r="Y30" i="5" s="1"/>
  <c r="W34" i="5"/>
  <c r="X34" i="5" s="1"/>
  <c r="Y34" i="5" s="1"/>
  <c r="W38" i="5"/>
  <c r="X38" i="5" s="1"/>
  <c r="Y38" i="5" s="1"/>
  <c r="W42" i="5"/>
  <c r="X42" i="5" s="1"/>
  <c r="Y42" i="5" s="1"/>
  <c r="W46" i="5"/>
  <c r="X46" i="5" s="1"/>
  <c r="Y46" i="5" s="1"/>
  <c r="W51" i="5"/>
  <c r="X51" i="5" s="1"/>
  <c r="Y51" i="5" s="1"/>
  <c r="W4" i="5"/>
  <c r="X4" i="5" s="1"/>
  <c r="Y4" i="5" s="1"/>
  <c r="W8" i="5"/>
  <c r="X8" i="5" s="1"/>
  <c r="Y8" i="5" s="1"/>
  <c r="W13" i="5"/>
  <c r="X13" i="5" s="1"/>
  <c r="Y13" i="5" s="1"/>
  <c r="W18" i="5"/>
  <c r="X18" i="5" s="1"/>
  <c r="Y18" i="5" s="1"/>
  <c r="W54" i="5"/>
  <c r="X54" i="5" s="1"/>
  <c r="Y54" i="5" s="1"/>
  <c r="W62" i="5"/>
  <c r="X62" i="5" s="1"/>
  <c r="Y62" i="5" s="1"/>
  <c r="W50" i="5"/>
  <c r="X50" i="5" s="1"/>
  <c r="Y50" i="5" s="1"/>
  <c r="W69" i="5"/>
  <c r="X69" i="5" s="1"/>
  <c r="Y69" i="5" s="1"/>
  <c r="W73" i="5"/>
  <c r="X73" i="5" s="1"/>
  <c r="Y73" i="5" s="1"/>
  <c r="W77" i="5"/>
  <c r="X77" i="5" s="1"/>
  <c r="Y77" i="5" s="1"/>
  <c r="X79" i="5"/>
  <c r="Y79" i="5" s="1"/>
  <c r="W81" i="5"/>
  <c r="X81" i="5" s="1"/>
  <c r="Y81" i="5" s="1"/>
  <c r="X82" i="5"/>
  <c r="Y82" i="5" s="1"/>
  <c r="W85" i="5"/>
  <c r="X85" i="5" s="1"/>
  <c r="Y85" i="5" s="1"/>
  <c r="X86" i="5"/>
  <c r="Y86" i="5" s="1"/>
  <c r="W89" i="5"/>
  <c r="X89" i="5" s="1"/>
  <c r="Y89" i="5" s="1"/>
  <c r="X90" i="5"/>
  <c r="Y90" i="5" s="1"/>
  <c r="W93" i="5"/>
  <c r="X93" i="5" s="1"/>
  <c r="Y93" i="5" s="1"/>
  <c r="W97" i="5"/>
  <c r="X97" i="5" s="1"/>
  <c r="Y97" i="5" s="1"/>
  <c r="W102" i="5"/>
  <c r="X102" i="5" s="1"/>
  <c r="Y102" i="5" s="1"/>
  <c r="W106" i="5"/>
  <c r="X106" i="5" s="1"/>
  <c r="Y106" i="5" s="1"/>
  <c r="W110" i="5"/>
  <c r="X110" i="5" s="1"/>
  <c r="Y110" i="5" s="1"/>
  <c r="W115" i="5"/>
  <c r="X115" i="5" s="1"/>
  <c r="Y115" i="5" s="1"/>
  <c r="W119" i="5"/>
  <c r="X119" i="5" s="1"/>
  <c r="Y119" i="5" s="1"/>
  <c r="W123" i="5"/>
  <c r="X123" i="5" s="1"/>
  <c r="Y123" i="5" s="1"/>
  <c r="X124" i="5"/>
  <c r="Y124" i="5" s="1"/>
  <c r="W127" i="5"/>
  <c r="X127" i="5" s="1"/>
  <c r="Y127" i="5" s="1"/>
  <c r="X128" i="5"/>
  <c r="Y128" i="5" s="1"/>
  <c r="W131" i="5"/>
  <c r="X131" i="5" s="1"/>
  <c r="Y131" i="5" s="1"/>
  <c r="X132" i="5"/>
  <c r="Y132" i="5" s="1"/>
  <c r="W135" i="5"/>
  <c r="X135" i="5" s="1"/>
  <c r="Y135" i="5" s="1"/>
  <c r="W139" i="5"/>
  <c r="X139" i="5" s="1"/>
  <c r="Y139" i="5" s="1"/>
  <c r="W25" i="5"/>
  <c r="X25" i="5" s="1"/>
  <c r="Y25" i="5" s="1"/>
  <c r="W29" i="5"/>
  <c r="X29" i="5" s="1"/>
  <c r="Y29" i="5" s="1"/>
  <c r="W33" i="5"/>
  <c r="X33" i="5" s="1"/>
  <c r="Y33" i="5" s="1"/>
  <c r="W37" i="5"/>
  <c r="X37" i="5" s="1"/>
  <c r="Y37" i="5" s="1"/>
  <c r="W41" i="5"/>
  <c r="X41" i="5" s="1"/>
  <c r="Y41" i="5" s="1"/>
  <c r="W45" i="5"/>
  <c r="X45" i="5" s="1"/>
  <c r="Y45" i="5" s="1"/>
  <c r="W55" i="5"/>
  <c r="X55" i="5" s="1"/>
  <c r="Y55" i="5" s="1"/>
  <c r="W59" i="5"/>
  <c r="X59" i="5" s="1"/>
  <c r="Y59" i="5" s="1"/>
  <c r="W63" i="5"/>
  <c r="X63" i="5" s="1"/>
  <c r="Y63" i="5" s="1"/>
  <c r="W70" i="5"/>
  <c r="X70" i="5" s="1"/>
  <c r="Y70" i="5" s="1"/>
  <c r="W74" i="5"/>
  <c r="X74" i="5" s="1"/>
  <c r="Y74" i="5" s="1"/>
  <c r="W94" i="5"/>
  <c r="X94" i="5" s="1"/>
  <c r="Y94" i="5" s="1"/>
  <c r="W98" i="5"/>
  <c r="X98" i="5" s="1"/>
  <c r="Y98" i="5" s="1"/>
  <c r="W103" i="5"/>
  <c r="X103" i="5" s="1"/>
  <c r="Y103" i="5" s="1"/>
  <c r="W107" i="5"/>
  <c r="X107" i="5" s="1"/>
  <c r="Y107" i="5" s="1"/>
  <c r="W112" i="5"/>
  <c r="X112" i="5" s="1"/>
  <c r="Y112" i="5" s="1"/>
  <c r="W120" i="5"/>
  <c r="X120" i="5" s="1"/>
  <c r="Y120" i="5" s="1"/>
  <c r="W136" i="5"/>
  <c r="X136" i="5" s="1"/>
  <c r="Y136" i="5" s="1"/>
  <c r="W140" i="5"/>
  <c r="X140" i="5" s="1"/>
  <c r="Y140" i="5" s="1"/>
  <c r="R3" i="5" l="1"/>
  <c r="D15" i="1"/>
  <c r="D8" i="3" s="1"/>
  <c r="E15" i="1"/>
  <c r="E18" i="1" s="1"/>
  <c r="E19" i="1" s="1"/>
  <c r="F15" i="1"/>
  <c r="F8" i="3" s="1"/>
  <c r="G15" i="1"/>
  <c r="G8" i="3" s="1"/>
  <c r="H15" i="1"/>
  <c r="H8" i="3" s="1"/>
  <c r="C15" i="1"/>
  <c r="C8" i="3" s="1"/>
  <c r="D14" i="2"/>
  <c r="E14" i="2"/>
  <c r="F14" i="2"/>
  <c r="G14" i="2"/>
  <c r="H14" i="2"/>
  <c r="C14" i="2"/>
  <c r="D22" i="2"/>
  <c r="D25" i="2" s="1"/>
  <c r="D26" i="2" s="1"/>
  <c r="D29" i="2" s="1"/>
  <c r="E22" i="2"/>
  <c r="E25" i="2" s="1"/>
  <c r="E26" i="2" s="1"/>
  <c r="E29" i="2" s="1"/>
  <c r="F22" i="2"/>
  <c r="F25" i="2" s="1"/>
  <c r="F26" i="2" s="1"/>
  <c r="F29" i="2" s="1"/>
  <c r="G22" i="2"/>
  <c r="G25" i="2" s="1"/>
  <c r="G26" i="2" s="1"/>
  <c r="G29" i="2" s="1"/>
  <c r="H22" i="2"/>
  <c r="H25" i="2" s="1"/>
  <c r="H26" i="2" s="1"/>
  <c r="H29" i="2" s="1"/>
  <c r="C22" i="2"/>
  <c r="C6" i="3" s="1"/>
  <c r="I10" i="2"/>
  <c r="F11" i="2" s="1"/>
  <c r="D13" i="1"/>
  <c r="E13" i="1"/>
  <c r="F13" i="1"/>
  <c r="G13" i="1"/>
  <c r="H13" i="1"/>
  <c r="C13" i="1"/>
  <c r="E6" i="3" l="1"/>
  <c r="H6" i="3"/>
  <c r="H10" i="3" s="1"/>
  <c r="H12" i="3" s="1"/>
  <c r="H14" i="3" s="1"/>
  <c r="D6" i="3"/>
  <c r="D10" i="3" s="1"/>
  <c r="D12" i="3" s="1"/>
  <c r="D14" i="3" s="1"/>
  <c r="C10" i="3"/>
  <c r="C12" i="3" s="1"/>
  <c r="C14" i="3" s="1"/>
  <c r="G6" i="3"/>
  <c r="G10" i="3" s="1"/>
  <c r="G12" i="3" s="1"/>
  <c r="G14" i="3" s="1"/>
  <c r="F6" i="3"/>
  <c r="F10" i="3" s="1"/>
  <c r="F12" i="3" s="1"/>
  <c r="F14" i="3" s="1"/>
  <c r="E8" i="3"/>
  <c r="E20" i="1"/>
  <c r="E22" i="1"/>
  <c r="H18" i="1"/>
  <c r="H19" i="1" s="1"/>
  <c r="D18" i="1"/>
  <c r="D19" i="1" s="1"/>
  <c r="G18" i="1"/>
  <c r="G19" i="1" s="1"/>
  <c r="C18" i="1"/>
  <c r="C19" i="1" s="1"/>
  <c r="F18" i="1"/>
  <c r="F19" i="1" s="1"/>
  <c r="F27" i="2"/>
  <c r="E27" i="2"/>
  <c r="H27" i="2"/>
  <c r="D27" i="2"/>
  <c r="G27" i="2"/>
  <c r="I14" i="2"/>
  <c r="D12" i="2" s="1"/>
  <c r="I22" i="2"/>
  <c r="C25" i="2"/>
  <c r="C26" i="2" s="1"/>
  <c r="H11" i="2"/>
  <c r="E11" i="2"/>
  <c r="D11" i="2"/>
  <c r="G11" i="2"/>
  <c r="C11" i="2"/>
  <c r="G12" i="2" l="1"/>
  <c r="H12" i="2"/>
  <c r="E12" i="2"/>
  <c r="C12" i="2"/>
  <c r="F12" i="2"/>
  <c r="G15" i="3"/>
  <c r="C17" i="3"/>
  <c r="E10" i="3"/>
  <c r="E12" i="3" s="1"/>
  <c r="E14" i="3" s="1"/>
  <c r="C15" i="3"/>
  <c r="F17" i="3"/>
  <c r="F15" i="3"/>
  <c r="G17" i="3"/>
  <c r="C20" i="1"/>
  <c r="C22" i="1"/>
  <c r="G20" i="1"/>
  <c r="G22" i="1"/>
  <c r="D22" i="1"/>
  <c r="D20" i="1"/>
  <c r="F20" i="1"/>
  <c r="F22" i="1"/>
  <c r="H22" i="1"/>
  <c r="H20" i="1"/>
  <c r="H15" i="3"/>
  <c r="H17" i="3"/>
  <c r="D15" i="3"/>
  <c r="D17" i="3"/>
  <c r="C29" i="2"/>
  <c r="C27" i="2"/>
  <c r="I27" i="2" s="1"/>
  <c r="I14" i="3" l="1"/>
  <c r="B22" i="3" s="1"/>
  <c r="E17" i="3"/>
  <c r="E15" i="3"/>
  <c r="I15" i="3" s="1"/>
  <c r="B25" i="3" s="1"/>
  <c r="I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Vavra</author>
  </authors>
  <commentList>
    <comment ref="B11" authorId="0" shapeId="0" xr:uid="{693BDE61-DF13-452E-8338-B6DDD60B572C}">
      <text>
        <r>
          <rPr>
            <sz val="9"/>
            <color indexed="81"/>
            <rFont val="Tahoma"/>
            <family val="2"/>
          </rPr>
          <t>Percentage of product mix of your kit selection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Vavra</author>
  </authors>
  <commentList>
    <comment ref="B14" authorId="0" shapeId="0" xr:uid="{F8828A19-3EB8-4E71-AE01-B414940A3BAE}">
      <text>
        <r>
          <rPr>
            <b/>
            <sz val="9"/>
            <color indexed="81"/>
            <rFont val="Tahoma"/>
            <family val="2"/>
          </rPr>
          <t>You will place your order in FULL cases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Vavra</author>
  </authors>
  <commentList>
    <comment ref="L1" authorId="0" shapeId="0" xr:uid="{8A0E69DE-DC4C-497E-BB37-0C53219B59C6}">
      <text>
        <r>
          <rPr>
            <b/>
            <sz val="9"/>
            <color indexed="81"/>
            <rFont val="Tahoma"/>
            <charset val="1"/>
          </rPr>
          <t>Brandon Vavra:</t>
        </r>
        <r>
          <rPr>
            <sz val="9"/>
            <color indexed="81"/>
            <rFont val="Tahoma"/>
            <charset val="1"/>
          </rPr>
          <t xml:space="preserve">
New Youth June 30 - Oct 31</t>
        </r>
      </text>
    </comment>
    <comment ref="M1" authorId="0" shapeId="0" xr:uid="{2661AEC1-F084-417D-BD84-1028F8946A6A}">
      <text>
        <r>
          <rPr>
            <b/>
            <sz val="9"/>
            <color indexed="81"/>
            <rFont val="Tahoma"/>
            <family val="2"/>
          </rPr>
          <t>Brandon Vavra:</t>
        </r>
        <r>
          <rPr>
            <sz val="9"/>
            <color indexed="81"/>
            <rFont val="Tahoma"/>
            <family val="2"/>
          </rPr>
          <t xml:space="preserve">
Last year end +1
Troops/Crews/Ships
</t>
        </r>
      </text>
    </comment>
    <comment ref="N1" authorId="0" shapeId="0" xr:uid="{C89BEA49-DAD8-4060-80E2-07183AA15BF9}">
      <text>
        <r>
          <rPr>
            <b/>
            <sz val="9"/>
            <color indexed="81"/>
            <rFont val="Tahoma"/>
            <family val="2"/>
          </rPr>
          <t>Brandon Vavra:</t>
        </r>
        <r>
          <rPr>
            <sz val="9"/>
            <color indexed="81"/>
            <rFont val="Tahoma"/>
            <family val="2"/>
          </rPr>
          <t xml:space="preserve">
Packs: more recruited in 24 vs 23
</t>
        </r>
      </text>
    </comment>
    <comment ref="O1" authorId="0" shapeId="0" xr:uid="{5D7D43E0-682E-4D61-8EEE-0D2D5D303BE6}">
      <text>
        <r>
          <rPr>
            <b/>
            <sz val="9"/>
            <color indexed="81"/>
            <rFont val="Tahoma"/>
            <family val="2"/>
          </rPr>
          <t>Brandon Vavra:</t>
        </r>
        <r>
          <rPr>
            <sz val="9"/>
            <color indexed="81"/>
            <rFont val="Tahoma"/>
            <family val="2"/>
          </rPr>
          <t xml:space="preserve">
minimum 10 new for packs, minimum 12 total for troops/crews/ships
</t>
        </r>
      </text>
    </comment>
    <comment ref="Q1" authorId="0" shapeId="0" xr:uid="{EA6423CB-7361-4EDE-8050-11CBEF88C4B6}">
      <text>
        <r>
          <rPr>
            <b/>
            <sz val="9"/>
            <color indexed="81"/>
            <rFont val="Tahoma"/>
            <family val="2"/>
          </rPr>
          <t>Brandon Vavra:</t>
        </r>
        <r>
          <rPr>
            <sz val="9"/>
            <color indexed="81"/>
            <rFont val="Tahoma"/>
            <family val="2"/>
          </rPr>
          <t xml:space="preserve">
this is New Recruit Goal for Packs and 10-31-24 member goal for all others</t>
        </r>
      </text>
    </comment>
  </commentList>
</comments>
</file>

<file path=xl/sharedStrings.xml><?xml version="1.0" encoding="utf-8"?>
<sst xmlns="http://schemas.openxmlformats.org/spreadsheetml/2006/main" count="732" uniqueCount="397">
  <si>
    <t>White Cheddar</t>
  </si>
  <si>
    <t>Salted Caramel</t>
  </si>
  <si>
    <t>Containers/Case</t>
  </si>
  <si>
    <t>Price/Container</t>
  </si>
  <si>
    <t>Product</t>
  </si>
  <si>
    <t>Popping Corn</t>
  </si>
  <si>
    <t>Kettle Corn</t>
  </si>
  <si>
    <t>Butter Micro.</t>
  </si>
  <si>
    <t>Hours of Storefront (Show &amp; Sell) Scheduled</t>
  </si>
  <si>
    <t>Total Cointainer Need</t>
  </si>
  <si>
    <t>Containers/Scout</t>
  </si>
  <si>
    <t>Value/Scout</t>
  </si>
  <si>
    <t>Number of Kits</t>
  </si>
  <si>
    <t>Total Containers Needed</t>
  </si>
  <si>
    <t>Cases Needed</t>
  </si>
  <si>
    <t>Value of Order</t>
  </si>
  <si>
    <t>Excess Containers</t>
  </si>
  <si>
    <t>Total</t>
  </si>
  <si>
    <t>Cases to Order</t>
  </si>
  <si>
    <t>Step 1 - Build your kit.</t>
  </si>
  <si>
    <t>Fill in the GREEN boxes below with the number of INDIVIDUAL CONTAINERS of each product you would like in each kit.</t>
  </si>
  <si>
    <t>Step 2 - How many kits?</t>
  </si>
  <si>
    <t>Fill in the GREEN box below with how many kits you are going to distribute.</t>
  </si>
  <si>
    <t>Show &amp; Deliver Need</t>
  </si>
  <si>
    <t>Storefront Need</t>
  </si>
  <si>
    <t>Total Container Need</t>
  </si>
  <si>
    <t xml:space="preserve">Use this form to help build your order for Storefront (Show &amp; Sell) order.  </t>
  </si>
  <si>
    <t>Step 1 - Enter hours scheduled.</t>
  </si>
  <si>
    <t>Fill in the GREEN box below with how many hours of storefront sales you have scheduled.</t>
  </si>
  <si>
    <t xml:space="preserve">Your order will automatically build based on historical average sales data.  </t>
  </si>
  <si>
    <t>Estimated Containers/Hour</t>
  </si>
  <si>
    <t>Value/Hour</t>
  </si>
  <si>
    <t>NOTE - you will still assemble your own kits, this form will just help you build your final order to the council.</t>
  </si>
  <si>
    <t>Unit</t>
  </si>
  <si>
    <t>Total Available Commission</t>
  </si>
  <si>
    <t>- Unit sells over $25,000</t>
  </si>
  <si>
    <t>Min. Sales Needed</t>
  </si>
  <si>
    <t>or</t>
  </si>
  <si>
    <t>- Unit sells over $15,000</t>
  </si>
  <si>
    <t>High Selling or Sales Growth</t>
  </si>
  <si>
    <t>To Go</t>
  </si>
  <si>
    <t>- merged units not eligible</t>
  </si>
  <si>
    <t>Unit Membership Growth</t>
  </si>
  <si>
    <t>Base Commission</t>
  </si>
  <si>
    <t>Select Unit:</t>
  </si>
  <si>
    <t>~Storefrnont Hours Needed:</t>
  </si>
  <si>
    <t>CLICK HERE FOR A STOREFRONT RESERVATION GUIDE</t>
  </si>
  <si>
    <t>Ultra High Selling Unit</t>
  </si>
  <si>
    <t>Unit Name</t>
  </si>
  <si>
    <t>Service Area</t>
  </si>
  <si>
    <t>Unit Type</t>
  </si>
  <si>
    <t>12/31/2021</t>
  </si>
  <si>
    <t>7/31/2022</t>
  </si>
  <si>
    <t>10/31/2022</t>
  </si>
  <si>
    <t>End Goal</t>
  </si>
  <si>
    <t>2021 Sales</t>
  </si>
  <si>
    <t>Min 4K</t>
  </si>
  <si>
    <t>Max of goals</t>
  </si>
  <si>
    <t>Southwest</t>
  </si>
  <si>
    <t>Crew</t>
  </si>
  <si>
    <t>Crew 0100 NA</t>
  </si>
  <si>
    <t>Crew 0121 NA</t>
  </si>
  <si>
    <t>East</t>
  </si>
  <si>
    <t>Crew 0218 NA</t>
  </si>
  <si>
    <t>Crew 0360 NA</t>
  </si>
  <si>
    <t>COS North</t>
  </si>
  <si>
    <t>Crew 0762 NA</t>
  </si>
  <si>
    <t>Crew 0789 NA</t>
  </si>
  <si>
    <t>COS South</t>
  </si>
  <si>
    <t>Crew 0911 NA</t>
  </si>
  <si>
    <t>Crew 3022 NA</t>
  </si>
  <si>
    <t>Pack</t>
  </si>
  <si>
    <t>Pack 0008 FP</t>
  </si>
  <si>
    <t>Pack 0017 BP</t>
  </si>
  <si>
    <t>Pack 0019 FP</t>
  </si>
  <si>
    <t>Pack 0020 FP</t>
  </si>
  <si>
    <t>Pack 0021 BP</t>
  </si>
  <si>
    <t>Pack 0024 FP</t>
  </si>
  <si>
    <t>Pack 0027 BP</t>
  </si>
  <si>
    <t>Pack 0027 FP</t>
  </si>
  <si>
    <t>Pack 0030 FP</t>
  </si>
  <si>
    <t>Pack 0038 BP</t>
  </si>
  <si>
    <t>Pack 0042 BP</t>
  </si>
  <si>
    <t>Pack 0044 BP</t>
  </si>
  <si>
    <t>Pack 0052 FP</t>
  </si>
  <si>
    <t>Pack 0060 FP</t>
  </si>
  <si>
    <t>Pack 0062 FP</t>
  </si>
  <si>
    <t>Pack 0070 FP</t>
  </si>
  <si>
    <t xml:space="preserve">Pack </t>
  </si>
  <si>
    <t>Pack 0076 FP</t>
  </si>
  <si>
    <t>Pack 0080 FP</t>
  </si>
  <si>
    <t>Pack 0084 FP</t>
  </si>
  <si>
    <t>Pack 0085 FP</t>
  </si>
  <si>
    <t>Pack 0093 FP</t>
  </si>
  <si>
    <t>Pack 0094 BP</t>
  </si>
  <si>
    <t>Pack 0100 BP</t>
  </si>
  <si>
    <t>Pack 0101 FP</t>
  </si>
  <si>
    <t>Pack 0102 FP</t>
  </si>
  <si>
    <t>Pack 0110 FP</t>
  </si>
  <si>
    <t>Pack 0113 FP</t>
  </si>
  <si>
    <t>Pack 0114 BP</t>
  </si>
  <si>
    <t>Pack 0117 BP</t>
  </si>
  <si>
    <t>Pack 0148 FP</t>
  </si>
  <si>
    <t>Pack 0159 FP</t>
  </si>
  <si>
    <t>Pack 0165 FP</t>
  </si>
  <si>
    <t>Pack 0166 FP</t>
  </si>
  <si>
    <t>Pack 0183 FP</t>
  </si>
  <si>
    <t>Pack 0195 FP</t>
  </si>
  <si>
    <t>Pack 0196 FP</t>
  </si>
  <si>
    <t>Pack 0223 BP</t>
  </si>
  <si>
    <t>Pack 0224 FP</t>
  </si>
  <si>
    <t>Pack 0228 BP</t>
  </si>
  <si>
    <t>Pack 0229 FP</t>
  </si>
  <si>
    <t>Pack 0231 FP</t>
  </si>
  <si>
    <t>Pack 0255 FP</t>
  </si>
  <si>
    <t>Pack 0264 FP</t>
  </si>
  <si>
    <t>Pack 0268 FP</t>
  </si>
  <si>
    <t>Pack 0307 FP</t>
  </si>
  <si>
    <t>Pack 0366 FP</t>
  </si>
  <si>
    <t>Pack 0386 FP</t>
  </si>
  <si>
    <t>Pack 0456 FP</t>
  </si>
  <si>
    <t>Pack 0911 FP</t>
  </si>
  <si>
    <t>Pack 2000 FP</t>
  </si>
  <si>
    <t>Pack 9200 BP</t>
  </si>
  <si>
    <t>Ship 0789 NA</t>
  </si>
  <si>
    <t>Troop</t>
  </si>
  <si>
    <t>Troop 0001 BT</t>
  </si>
  <si>
    <t>Troop 0002 BT</t>
  </si>
  <si>
    <t>Troop 0006 BT</t>
  </si>
  <si>
    <t>Troop 0007 BT</t>
  </si>
  <si>
    <t>Troop 0009 BT</t>
  </si>
  <si>
    <t>Troop 0017 BT</t>
  </si>
  <si>
    <t>Troop 0018 BT</t>
  </si>
  <si>
    <t>Troop 0019 BT</t>
  </si>
  <si>
    <t>Troop 0021 BT</t>
  </si>
  <si>
    <t>Troop 0027 BT</t>
  </si>
  <si>
    <t>Troop 0030 BT</t>
  </si>
  <si>
    <t>Troop 0038 BT</t>
  </si>
  <si>
    <t>Troop 0039 BT</t>
  </si>
  <si>
    <t>Troop 0042 BT</t>
  </si>
  <si>
    <t>Troop 0044 BT</t>
  </si>
  <si>
    <t>Troop 0050 BT</t>
  </si>
  <si>
    <t>Troop 0052 BT</t>
  </si>
  <si>
    <t>Troop 0053 BT</t>
  </si>
  <si>
    <t>Troop 0060 BT</t>
  </si>
  <si>
    <t>Troop 0062 BT</t>
  </si>
  <si>
    <t>Troop 0064 BT</t>
  </si>
  <si>
    <t>Troop 0066 BT</t>
  </si>
  <si>
    <t>Troop 0067 BT</t>
  </si>
  <si>
    <t>Troop 0070 BT</t>
  </si>
  <si>
    <t>Troop 0071 BT</t>
  </si>
  <si>
    <t>Troop 0071 GT</t>
  </si>
  <si>
    <t>Troop 0077 GT</t>
  </si>
  <si>
    <t>Troop 0078 BT</t>
  </si>
  <si>
    <t>Troop 0079 BT</t>
  </si>
  <si>
    <t>Troop 0110 BT</t>
  </si>
  <si>
    <t>Troop 0114 BT</t>
  </si>
  <si>
    <t>Troop 0118 BT</t>
  </si>
  <si>
    <t>Troop 0121 BT</t>
  </si>
  <si>
    <t>Troop 0127 BT</t>
  </si>
  <si>
    <t>Troop 0148 BT</t>
  </si>
  <si>
    <t>Troop 0149 BT</t>
  </si>
  <si>
    <t>Troop 0149 GT</t>
  </si>
  <si>
    <t>Troop 0164 BT</t>
  </si>
  <si>
    <t>Troop 0187 BT</t>
  </si>
  <si>
    <t>Troop 0194 BT</t>
  </si>
  <si>
    <t>Troop 0199 BT</t>
  </si>
  <si>
    <t>Troop 0202 BT</t>
  </si>
  <si>
    <t>Troop 0214 BT</t>
  </si>
  <si>
    <t>Troop 0218 BT</t>
  </si>
  <si>
    <t>Troop 0220 BT</t>
  </si>
  <si>
    <t>Troop 0223 BT</t>
  </si>
  <si>
    <t>Troop 0228 BT</t>
  </si>
  <si>
    <t>Troop 0230 BT</t>
  </si>
  <si>
    <t>Troop 0232 BT</t>
  </si>
  <si>
    <t>Troop 0246 BT</t>
  </si>
  <si>
    <t>Troop 0268 BT</t>
  </si>
  <si>
    <t>Troop 0287 BT</t>
  </si>
  <si>
    <t>Troop 0307 BT</t>
  </si>
  <si>
    <t>Troop 0343 BT</t>
  </si>
  <si>
    <t>Troop 0366 BT</t>
  </si>
  <si>
    <t>Troop 0404 BT</t>
  </si>
  <si>
    <t>Troop 0687 GT</t>
  </si>
  <si>
    <t>Troop 0777 BT</t>
  </si>
  <si>
    <t>Troop 0789 GT</t>
  </si>
  <si>
    <t>Troop 0841 GT</t>
  </si>
  <si>
    <t>Troop 0911 BT</t>
  </si>
  <si>
    <t>Troop 1027 GT</t>
  </si>
  <si>
    <t>Troop 1199 GT</t>
  </si>
  <si>
    <t>Troop 1223 GT</t>
  </si>
  <si>
    <t>Troop 1232 GT</t>
  </si>
  <si>
    <t>Troop 1268 GT</t>
  </si>
  <si>
    <t>Troop 1307 GT</t>
  </si>
  <si>
    <t>Troop 1911 GT</t>
  </si>
  <si>
    <t>Troop 2019 GT</t>
  </si>
  <si>
    <t>Pack 9999 - Test Unit</t>
  </si>
  <si>
    <t>Pack 9999 FP</t>
  </si>
  <si>
    <t>Learn more about the Pathway to the Rockies Council Commission Structure HERE</t>
  </si>
  <si>
    <t>CLICK HERE FOR A SAMPLE SHOW &amp; DELIVER KIT AND CONTRACT</t>
  </si>
  <si>
    <t>TROOPS/CREWS/SHIPS - YEAR END membership growth* by Oct. 31st</t>
  </si>
  <si>
    <t>Mid-size car</t>
  </si>
  <si>
    <t>Small SUV</t>
  </si>
  <si>
    <t>Crossover</t>
  </si>
  <si>
    <t>Mini-van</t>
  </si>
  <si>
    <t>Large SUV</t>
  </si>
  <si>
    <t>Full Size Van</t>
  </si>
  <si>
    <t>Full Size Pickup</t>
  </si>
  <si>
    <t>20 Cases</t>
  </si>
  <si>
    <t>40 Cases</t>
  </si>
  <si>
    <t>60 Cases</t>
  </si>
  <si>
    <t>70 Cases</t>
  </si>
  <si>
    <t>80 Cases</t>
  </si>
  <si>
    <t>How much popcorn can I fit in my car?*</t>
  </si>
  <si>
    <t>*results may vary, assumes folded seats and no cargo, child seats, golf clubs, backpacks, pets, or children</t>
  </si>
  <si>
    <t>Every effort was made to ensure this data is accurate.  If you feel that your unit data is incorrect, please contact brandon.vavra@scouting.org</t>
  </si>
  <si>
    <t>- earn 30% on all sales (Show &amp; Sell + Take Order + Online)</t>
  </si>
  <si>
    <t>% of your product mix</t>
  </si>
  <si>
    <t>YOUR CASE COUNT</t>
  </si>
  <si>
    <t>YOUR RETAIL VALUE</t>
  </si>
  <si>
    <t>S'Mores</t>
  </si>
  <si>
    <t>Estimated % of Mix</t>
  </si>
  <si>
    <t>12/31/2022</t>
  </si>
  <si>
    <t>6/30/2023</t>
  </si>
  <si>
    <t>Pack 0018 FP</t>
  </si>
  <si>
    <t>Troop 0194 GT</t>
  </si>
  <si>
    <t>- DOUBLE 2022 SALE (MINIMUM OF $4000 SALE IN 2023)</t>
  </si>
  <si>
    <t>- Non 2022 sellers sell a minimum of $4000</t>
  </si>
  <si>
    <t>2022 Sales</t>
  </si>
  <si>
    <t>Pack 0018 F</t>
  </si>
  <si>
    <t xml:space="preserve">Crew 0100 </t>
  </si>
  <si>
    <t xml:space="preserve">Crew 0121 </t>
  </si>
  <si>
    <t xml:space="preserve">Crew 0218 </t>
  </si>
  <si>
    <t xml:space="preserve">Crew 0360 </t>
  </si>
  <si>
    <t xml:space="preserve">Crew 0762 </t>
  </si>
  <si>
    <t xml:space="preserve">Crew 0789 </t>
  </si>
  <si>
    <t xml:space="preserve">Crew 0911 </t>
  </si>
  <si>
    <t xml:space="preserve">Crew 3022 </t>
  </si>
  <si>
    <t>Pack 0008 F</t>
  </si>
  <si>
    <t>Pack 0017 F</t>
  </si>
  <si>
    <t>Pack 0019 F</t>
  </si>
  <si>
    <t>Pack 0020 F</t>
  </si>
  <si>
    <t>Pack 0021 B</t>
  </si>
  <si>
    <t>Pack 0024 F</t>
  </si>
  <si>
    <t>Pack 0027 B - Pueblo West</t>
  </si>
  <si>
    <t>Pack 0027 F - Colorado Springs</t>
  </si>
  <si>
    <t>Pack 0030 F</t>
  </si>
  <si>
    <t>Pack 0038 B</t>
  </si>
  <si>
    <t>Pack 0042 B</t>
  </si>
  <si>
    <t>Pack 0044 B</t>
  </si>
  <si>
    <t>Pack 0052 F</t>
  </si>
  <si>
    <t>Pack 0060 F</t>
  </si>
  <si>
    <t>Pack 0062 F</t>
  </si>
  <si>
    <t>Pack 0070 F</t>
  </si>
  <si>
    <t>Pack 0076 F</t>
  </si>
  <si>
    <t>Pack 0080 F</t>
  </si>
  <si>
    <t>Pack 0084 F</t>
  </si>
  <si>
    <t>Pack 0085 F</t>
  </si>
  <si>
    <t>Pack 0093 F</t>
  </si>
  <si>
    <t>Pack 0094 F</t>
  </si>
  <si>
    <t>Pack 0100 B</t>
  </si>
  <si>
    <t>Pack 0101 F</t>
  </si>
  <si>
    <t>Pack 0102 F</t>
  </si>
  <si>
    <t>Pack 0110 F</t>
  </si>
  <si>
    <t>Pack 0113 F</t>
  </si>
  <si>
    <t>Pack 0114 B</t>
  </si>
  <si>
    <t>Pack 0117 B</t>
  </si>
  <si>
    <t>Pack 0148 F</t>
  </si>
  <si>
    <t>Pack 0159 F</t>
  </si>
  <si>
    <t>Pack 0165 F</t>
  </si>
  <si>
    <t>Pack 0166 F</t>
  </si>
  <si>
    <t>Pack 0183 F</t>
  </si>
  <si>
    <t>Pack 0195 F</t>
  </si>
  <si>
    <t>Pack 0196 F</t>
  </si>
  <si>
    <t>Pack 0223 F</t>
  </si>
  <si>
    <t>Pack 0224 F</t>
  </si>
  <si>
    <t>Pack 0228 B</t>
  </si>
  <si>
    <t>Pack 0229 F</t>
  </si>
  <si>
    <t>Pack 0231 F</t>
  </si>
  <si>
    <t>Pack 0255 F</t>
  </si>
  <si>
    <t>Pack 0264 F</t>
  </si>
  <si>
    <t>Pack 0268 F</t>
  </si>
  <si>
    <t>Pack 0307 F</t>
  </si>
  <si>
    <t>Pack 0366 F</t>
  </si>
  <si>
    <t>Pack 0386 F</t>
  </si>
  <si>
    <t>Pack 0456 F</t>
  </si>
  <si>
    <t>Pack 0911 F</t>
  </si>
  <si>
    <t>Pack 2000 F</t>
  </si>
  <si>
    <t>Pack 9200 B</t>
  </si>
  <si>
    <t>Ship 0789</t>
  </si>
  <si>
    <t>Troop 0001 B</t>
  </si>
  <si>
    <t>Troop 0002 B</t>
  </si>
  <si>
    <t>Troop 0006 B</t>
  </si>
  <si>
    <t>Troop 0007 B - Colorado Springs</t>
  </si>
  <si>
    <t>Troop 0007 B - Pueblo West</t>
  </si>
  <si>
    <t>Troop 0009 B - Monument</t>
  </si>
  <si>
    <t>Troop 0009 B - Pueblo</t>
  </si>
  <si>
    <t>Troop 0017 B</t>
  </si>
  <si>
    <t>Troop 0018 B</t>
  </si>
  <si>
    <t>Troop 0019 B</t>
  </si>
  <si>
    <t>Troop 0021 B</t>
  </si>
  <si>
    <t>Troop 0027 B - Colorado Springs</t>
  </si>
  <si>
    <t>Troop 0027 B - Pueblo West</t>
  </si>
  <si>
    <t>Troop 0030 B</t>
  </si>
  <si>
    <t>Troop 0038 B</t>
  </si>
  <si>
    <t>Troop 0039 B</t>
  </si>
  <si>
    <t>Troop 0042 B</t>
  </si>
  <si>
    <t>Troop 0044 B</t>
  </si>
  <si>
    <t>Troop 0050 B</t>
  </si>
  <si>
    <t>Troop 0052 B</t>
  </si>
  <si>
    <t>Troop 0053 B</t>
  </si>
  <si>
    <t>Troop 0060 B</t>
  </si>
  <si>
    <t>Troop 0062 B</t>
  </si>
  <si>
    <t>Troop 0064 B</t>
  </si>
  <si>
    <t>Troop 0066 B</t>
  </si>
  <si>
    <t>Troop 0067 B</t>
  </si>
  <si>
    <t>Troop 0070 B</t>
  </si>
  <si>
    <t>Troop 0071 B</t>
  </si>
  <si>
    <t>Troop 0071 G</t>
  </si>
  <si>
    <t>Troop 0077 G</t>
  </si>
  <si>
    <t>Troop 0078 B</t>
  </si>
  <si>
    <t>Troop 0079 B</t>
  </si>
  <si>
    <t>Troop 0110 B</t>
  </si>
  <si>
    <t>Troop 0114 B</t>
  </si>
  <si>
    <t>Troop 0118 B</t>
  </si>
  <si>
    <t>Troop 0121 B</t>
  </si>
  <si>
    <t>Troop 0127 B</t>
  </si>
  <si>
    <t>Troop 0148 B</t>
  </si>
  <si>
    <t>Troop 0149 B</t>
  </si>
  <si>
    <t>Troop 0149 G</t>
  </si>
  <si>
    <t>Troop 0164 B</t>
  </si>
  <si>
    <t>Troop 0187 B</t>
  </si>
  <si>
    <t>Troop 0194 B</t>
  </si>
  <si>
    <t>Troop 0194 G</t>
  </si>
  <si>
    <t>Troop 0199 B</t>
  </si>
  <si>
    <t>Troop 0202 B</t>
  </si>
  <si>
    <t>Troop 0214 B</t>
  </si>
  <si>
    <t>Troop 0218 B</t>
  </si>
  <si>
    <t>Troop 0220 B</t>
  </si>
  <si>
    <t>Troop 0223 B</t>
  </si>
  <si>
    <t>Troop 0228 B</t>
  </si>
  <si>
    <t>Troop 0230 B</t>
  </si>
  <si>
    <t>Troop 0232 B</t>
  </si>
  <si>
    <t>Troop 0246 B</t>
  </si>
  <si>
    <t>Troop 0268 B</t>
  </si>
  <si>
    <t>Troop 0287 B</t>
  </si>
  <si>
    <t>Troop 0307 B</t>
  </si>
  <si>
    <t>Troop 0343 B</t>
  </si>
  <si>
    <t>Troop 0366 B</t>
  </si>
  <si>
    <t>Troop 0404 B</t>
  </si>
  <si>
    <t>Troop 0687 G</t>
  </si>
  <si>
    <t>Troop 0777 B</t>
  </si>
  <si>
    <t>Troop 0789 G</t>
  </si>
  <si>
    <t>Troop 0841 G</t>
  </si>
  <si>
    <t>Troop 0911 B</t>
  </si>
  <si>
    <t>Troop 1027 G</t>
  </si>
  <si>
    <t>Troop 1199 G</t>
  </si>
  <si>
    <t>Troop 1223 G</t>
  </si>
  <si>
    <t>Troop 1232 G</t>
  </si>
  <si>
    <t>Troop 1268 G</t>
  </si>
  <si>
    <t>Troop 1307 G</t>
  </si>
  <si>
    <t>Troop 1911 G</t>
  </si>
  <si>
    <t>Troop 2019 G</t>
  </si>
  <si>
    <t>% of your $$$</t>
  </si>
  <si>
    <t>2023 Sales</t>
  </si>
  <si>
    <t>12/31/2023</t>
  </si>
  <si>
    <t>Recruited 23</t>
  </si>
  <si>
    <t>Pack 0219 F</t>
  </si>
  <si>
    <t>Pack 0219 FP</t>
  </si>
  <si>
    <t>Troop 0110 G</t>
  </si>
  <si>
    <t>Troop 0110 GT</t>
  </si>
  <si>
    <t>Pack Recruit Goal</t>
  </si>
  <si>
    <t>Troop Growth Goal</t>
  </si>
  <si>
    <t>PACKS - Recruit more NEW* youth in 2024 vs 2023</t>
  </si>
  <si>
    <t>- Minimum of 15 registered youth on 10-31-24</t>
  </si>
  <si>
    <t xml:space="preserve">- more NEW cub scouts recruited 07-01-24 - 10-31-24 vs 07-01-23 - 10-31-23 </t>
  </si>
  <si>
    <t>Min Recruit Goal</t>
  </si>
  <si>
    <t>Pack Recruit Growth Goal</t>
  </si>
  <si>
    <t>Double 2023</t>
  </si>
  <si>
    <t xml:space="preserve">2024 Sales Growth Goal </t>
  </si>
  <si>
    <t>- Minimum of 10 NEW youth in fall recruitment (07-01-24 - 10-31-23)</t>
  </si>
  <si>
    <t>6/30/2024</t>
  </si>
  <si>
    <t>06-30-24 Members</t>
  </si>
  <si>
    <t>Pack 0026 FP</t>
  </si>
  <si>
    <t>Pack 0026 F</t>
  </si>
  <si>
    <t>- more registered youth members on 10-31-24 than 12-31-23</t>
  </si>
  <si>
    <t>- Minimum of 12 registered youth on 10-31-24</t>
  </si>
  <si>
    <t>Troop 0002 GT</t>
  </si>
  <si>
    <t>Troop 0002 G</t>
  </si>
  <si>
    <t>2024 Min. Need</t>
  </si>
  <si>
    <t>***Note:  These are estimates based on 2023 average sales and estimated 2024 product mix.</t>
  </si>
  <si>
    <t>% of $</t>
  </si>
  <si>
    <t># of Containers</t>
  </si>
  <si>
    <t>$/container</t>
  </si>
  <si>
    <t>% by Container</t>
  </si>
  <si>
    <t>195 dollars/hour storefront</t>
  </si>
  <si>
    <t>Containers/Hour</t>
  </si>
  <si>
    <t xml:space="preserve">Use this form to help build your order for Wagon Sale Kits that you will check out to scouts.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</si>
</sst>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rgb="FF666699"/>
      <name val="Arial"/>
      <family val="2"/>
    </font>
    <font>
      <b/>
      <sz val="10"/>
      <color rgb="FF000000"/>
      <name val="Arial"/>
      <family val="2"/>
    </font>
    <font>
      <sz val="16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wrapText="1"/>
    </xf>
    <xf numFmtId="44" fontId="3" fillId="0" borderId="0" xfId="1" applyFont="1" applyFill="1" applyBorder="1" applyAlignment="1">
      <alignment wrapText="1"/>
    </xf>
    <xf numFmtId="44" fontId="3" fillId="0" borderId="0" xfId="1" applyFont="1" applyFill="1" applyBorder="1" applyAlignment="1">
      <alignment horizontal="right" wrapText="1"/>
    </xf>
    <xf numFmtId="44" fontId="0" fillId="0" borderId="0" xfId="1" applyFont="1"/>
    <xf numFmtId="0" fontId="3" fillId="0" borderId="0" xfId="0" applyFont="1" applyAlignment="1">
      <alignment horizontal="center" vertical="center" wrapText="1"/>
    </xf>
    <xf numFmtId="44" fontId="2" fillId="0" borderId="0" xfId="1" applyFont="1"/>
    <xf numFmtId="44" fontId="0" fillId="0" borderId="0" xfId="0" applyNumberFormat="1"/>
    <xf numFmtId="0" fontId="2" fillId="0" borderId="0" xfId="0" applyFont="1"/>
    <xf numFmtId="0" fontId="0" fillId="0" borderId="5" xfId="0" applyBorder="1"/>
    <xf numFmtId="0" fontId="0" fillId="0" borderId="4" xfId="0" applyBorder="1"/>
    <xf numFmtId="0" fontId="3" fillId="0" borderId="4" xfId="0" applyFont="1" applyBorder="1" applyAlignment="1">
      <alignment wrapText="1"/>
    </xf>
    <xf numFmtId="44" fontId="3" fillId="0" borderId="4" xfId="1" applyFont="1" applyFill="1" applyBorder="1" applyAlignment="1">
      <alignment wrapText="1"/>
    </xf>
    <xf numFmtId="44" fontId="0" fillId="0" borderId="0" xfId="1" applyFont="1" applyBorder="1"/>
    <xf numFmtId="9" fontId="0" fillId="0" borderId="0" xfId="2" applyFont="1" applyBorder="1"/>
    <xf numFmtId="0" fontId="4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44" fontId="1" fillId="0" borderId="7" xfId="1" applyFont="1" applyBorder="1"/>
    <xf numFmtId="44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0" fillId="0" borderId="5" xfId="1" applyFont="1" applyBorder="1"/>
    <xf numFmtId="0" fontId="5" fillId="0" borderId="10" xfId="0" applyFont="1" applyBorder="1"/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8" fillId="0" borderId="0" xfId="0" applyFont="1"/>
    <xf numFmtId="0" fontId="3" fillId="4" borderId="0" xfId="0" applyFont="1" applyFill="1" applyAlignment="1">
      <alignment horizontal="right" wrapText="1"/>
    </xf>
    <xf numFmtId="0" fontId="0" fillId="4" borderId="0" xfId="0" applyFill="1"/>
    <xf numFmtId="0" fontId="0" fillId="4" borderId="9" xfId="0" applyFill="1" applyBorder="1"/>
    <xf numFmtId="0" fontId="3" fillId="4" borderId="9" xfId="0" applyFont="1" applyFill="1" applyBorder="1" applyAlignment="1">
      <alignment horizontal="right" wrapText="1"/>
    </xf>
    <xf numFmtId="0" fontId="3" fillId="4" borderId="13" xfId="0" applyFont="1" applyFill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0" fillId="4" borderId="17" xfId="0" applyFill="1" applyBorder="1"/>
    <xf numFmtId="44" fontId="3" fillId="4" borderId="18" xfId="1" applyFont="1" applyFill="1" applyBorder="1" applyAlignment="1">
      <alignment wrapText="1"/>
    </xf>
    <xf numFmtId="44" fontId="3" fillId="4" borderId="19" xfId="1" applyFont="1" applyFill="1" applyBorder="1" applyAlignment="1">
      <alignment horizontal="right" wrapText="1"/>
    </xf>
    <xf numFmtId="44" fontId="0" fillId="4" borderId="19" xfId="1" applyFont="1" applyFill="1" applyBorder="1"/>
    <xf numFmtId="44" fontId="0" fillId="4" borderId="20" xfId="1" applyFont="1" applyFill="1" applyBorder="1"/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/>
    </xf>
    <xf numFmtId="3" fontId="0" fillId="0" borderId="0" xfId="0" applyNumberFormat="1"/>
    <xf numFmtId="0" fontId="14" fillId="0" borderId="0" xfId="0" applyFont="1"/>
    <xf numFmtId="0" fontId="14" fillId="0" borderId="8" xfId="0" applyFont="1" applyBorder="1"/>
    <xf numFmtId="0" fontId="14" fillId="0" borderId="7" xfId="0" applyFont="1" applyBorder="1"/>
    <xf numFmtId="0" fontId="16" fillId="0" borderId="7" xfId="0" applyFont="1" applyBorder="1"/>
    <xf numFmtId="9" fontId="17" fillId="0" borderId="7" xfId="0" applyNumberFormat="1" applyFont="1" applyBorder="1"/>
    <xf numFmtId="0" fontId="16" fillId="0" borderId="6" xfId="0" applyFont="1" applyBorder="1"/>
    <xf numFmtId="0" fontId="14" fillId="0" borderId="5" xfId="0" applyFont="1" applyBorder="1"/>
    <xf numFmtId="0" fontId="16" fillId="0" borderId="4" xfId="0" applyFont="1" applyBorder="1"/>
    <xf numFmtId="6" fontId="19" fillId="0" borderId="21" xfId="0" applyNumberFormat="1" applyFont="1" applyBorder="1"/>
    <xf numFmtId="0" fontId="14" fillId="0" borderId="22" xfId="0" applyFont="1" applyBorder="1"/>
    <xf numFmtId="0" fontId="16" fillId="0" borderId="22" xfId="0" applyFont="1" applyBorder="1"/>
    <xf numFmtId="9" fontId="17" fillId="0" borderId="22" xfId="0" applyNumberFormat="1" applyFont="1" applyBorder="1"/>
    <xf numFmtId="0" fontId="16" fillId="0" borderId="23" xfId="0" applyFont="1" applyBorder="1"/>
    <xf numFmtId="0" fontId="20" fillId="0" borderId="5" xfId="0" applyFont="1" applyBorder="1"/>
    <xf numFmtId="0" fontId="20" fillId="0" borderId="24" xfId="0" applyFont="1" applyBorder="1"/>
    <xf numFmtId="0" fontId="14" fillId="0" borderId="25" xfId="0" applyFont="1" applyBorder="1"/>
    <xf numFmtId="0" fontId="18" fillId="0" borderId="25" xfId="0" applyFont="1" applyBorder="1"/>
    <xf numFmtId="0" fontId="21" fillId="0" borderId="25" xfId="0" quotePrefix="1" applyFont="1" applyBorder="1" applyAlignment="1">
      <alignment horizontal="left"/>
    </xf>
    <xf numFmtId="0" fontId="21" fillId="0" borderId="26" xfId="0" quotePrefix="1" applyFont="1" applyBorder="1" applyAlignment="1">
      <alignment horizontal="left"/>
    </xf>
    <xf numFmtId="0" fontId="16" fillId="0" borderId="2" xfId="0" applyFont="1" applyBorder="1"/>
    <xf numFmtId="9" fontId="17" fillId="0" borderId="2" xfId="0" applyNumberFormat="1" applyFont="1" applyBorder="1"/>
    <xf numFmtId="0" fontId="16" fillId="0" borderId="1" xfId="0" applyFont="1" applyBorder="1"/>
    <xf numFmtId="0" fontId="25" fillId="0" borderId="9" xfId="0" applyFont="1" applyBorder="1" applyAlignment="1">
      <alignment horizontal="right"/>
    </xf>
    <xf numFmtId="0" fontId="16" fillId="5" borderId="4" xfId="0" applyFont="1" applyFill="1" applyBorder="1"/>
    <xf numFmtId="0" fontId="14" fillId="5" borderId="5" xfId="0" applyFont="1" applyFill="1" applyBorder="1"/>
    <xf numFmtId="0" fontId="23" fillId="5" borderId="4" xfId="0" applyFont="1" applyFill="1" applyBorder="1" applyAlignment="1">
      <alignment horizontal="left" vertical="center" wrapText="1" indent="1"/>
    </xf>
    <xf numFmtId="0" fontId="20" fillId="5" borderId="5" xfId="0" applyFont="1" applyFill="1" applyBorder="1"/>
    <xf numFmtId="0" fontId="0" fillId="5" borderId="4" xfId="0" applyFill="1" applyBorder="1" applyAlignment="1">
      <alignment horizontal="left" vertical="top" wrapText="1"/>
    </xf>
    <xf numFmtId="1" fontId="26" fillId="0" borderId="5" xfId="0" applyNumberFormat="1" applyFont="1" applyBorder="1"/>
    <xf numFmtId="0" fontId="14" fillId="0" borderId="9" xfId="0" applyFont="1" applyBorder="1"/>
    <xf numFmtId="164" fontId="2" fillId="0" borderId="0" xfId="0" applyNumberFormat="1" applyFont="1"/>
    <xf numFmtId="164" fontId="0" fillId="0" borderId="0" xfId="2" applyNumberFormat="1" applyFont="1"/>
    <xf numFmtId="0" fontId="27" fillId="0" borderId="4" xfId="0" applyFont="1" applyBorder="1" applyAlignment="1">
      <alignment wrapText="1"/>
    </xf>
    <xf numFmtId="0" fontId="28" fillId="0" borderId="0" xfId="0" applyFont="1"/>
    <xf numFmtId="0" fontId="28" fillId="0" borderId="5" xfId="0" applyFont="1" applyBorder="1"/>
    <xf numFmtId="44" fontId="28" fillId="0" borderId="0" xfId="1" applyFont="1"/>
    <xf numFmtId="44" fontId="27" fillId="0" borderId="4" xfId="1" applyFont="1" applyFill="1" applyBorder="1" applyAlignment="1">
      <alignment wrapText="1"/>
    </xf>
    <xf numFmtId="44" fontId="28" fillId="0" borderId="0" xfId="1" applyFont="1" applyBorder="1"/>
    <xf numFmtId="44" fontId="28" fillId="0" borderId="5" xfId="1" applyFont="1" applyBorder="1"/>
    <xf numFmtId="14" fontId="0" fillId="0" borderId="0" xfId="0" applyNumberFormat="1"/>
    <xf numFmtId="14" fontId="0" fillId="0" borderId="0" xfId="0" quotePrefix="1" applyNumberFormat="1"/>
    <xf numFmtId="165" fontId="0" fillId="0" borderId="0" xfId="0" applyNumberFormat="1"/>
    <xf numFmtId="165" fontId="0" fillId="0" borderId="0" xfId="1" applyNumberFormat="1" applyFont="1"/>
    <xf numFmtId="165" fontId="19" fillId="0" borderId="17" xfId="0" applyNumberFormat="1" applyFont="1" applyBorder="1"/>
    <xf numFmtId="165" fontId="19" fillId="6" borderId="17" xfId="0" applyNumberFormat="1" applyFont="1" applyFill="1" applyBorder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44" fontId="5" fillId="0" borderId="30" xfId="0" applyNumberFormat="1" applyFont="1" applyBorder="1" applyAlignment="1">
      <alignment horizontal="center"/>
    </xf>
    <xf numFmtId="0" fontId="16" fillId="0" borderId="0" xfId="0" applyFont="1"/>
    <xf numFmtId="0" fontId="24" fillId="0" borderId="2" xfId="0" applyFont="1" applyBorder="1"/>
    <xf numFmtId="0" fontId="24" fillId="0" borderId="3" xfId="0" applyFont="1" applyBorder="1"/>
    <xf numFmtId="0" fontId="14" fillId="0" borderId="7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16" fillId="5" borderId="0" xfId="0" applyFont="1" applyFill="1"/>
    <xf numFmtId="0" fontId="14" fillId="5" borderId="0" xfId="0" applyFont="1" applyFill="1"/>
    <xf numFmtId="0" fontId="18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9" xfId="0" applyBorder="1"/>
    <xf numFmtId="44" fontId="0" fillId="0" borderId="9" xfId="1" applyFont="1" applyBorder="1"/>
    <xf numFmtId="0" fontId="0" fillId="4" borderId="9" xfId="0" applyFill="1" applyBorder="1" applyAlignment="1">
      <alignment horizontal="center"/>
    </xf>
    <xf numFmtId="9" fontId="0" fillId="0" borderId="9" xfId="0" applyNumberFormat="1" applyBorder="1"/>
    <xf numFmtId="44" fontId="0" fillId="0" borderId="9" xfId="0" applyNumberFormat="1" applyBorder="1"/>
    <xf numFmtId="9" fontId="0" fillId="0" borderId="9" xfId="2" applyFont="1" applyBorder="1"/>
    <xf numFmtId="0" fontId="12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right" wrapText="1"/>
    </xf>
    <xf numFmtId="0" fontId="0" fillId="3" borderId="0" xfId="0" applyFill="1"/>
    <xf numFmtId="0" fontId="4" fillId="0" borderId="0" xfId="0" applyFont="1" applyAlignment="1">
      <alignment wrapText="1"/>
    </xf>
    <xf numFmtId="0" fontId="0" fillId="0" borderId="31" xfId="0" applyBorder="1"/>
    <xf numFmtId="0" fontId="0" fillId="0" borderId="0" xfId="2" applyNumberFormat="1" applyFont="1" applyBorder="1"/>
    <xf numFmtId="0" fontId="29" fillId="0" borderId="0" xfId="3" applyFont="1" applyAlignment="1">
      <alignment horizontal="center"/>
    </xf>
    <xf numFmtId="0" fontId="22" fillId="0" borderId="4" xfId="0" quotePrefix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1" fillId="0" borderId="4" xfId="0" quotePrefix="1" applyFont="1" applyBorder="1" applyAlignment="1">
      <alignment horizontal="left"/>
    </xf>
    <xf numFmtId="0" fontId="21" fillId="0" borderId="0" xfId="0" quotePrefix="1" applyFont="1" applyAlignment="1">
      <alignment horizontal="left"/>
    </xf>
    <xf numFmtId="0" fontId="18" fillId="0" borderId="4" xfId="0" quotePrefix="1" applyFont="1" applyBorder="1" applyAlignment="1">
      <alignment horizontal="left"/>
    </xf>
    <xf numFmtId="0" fontId="18" fillId="0" borderId="0" xfId="0" quotePrefix="1" applyFont="1" applyAlignment="1">
      <alignment horizontal="left"/>
    </xf>
    <xf numFmtId="0" fontId="15" fillId="3" borderId="0" xfId="0" applyFont="1" applyFill="1" applyAlignment="1">
      <alignment horizontal="left" vertical="top" wrapText="1"/>
    </xf>
    <xf numFmtId="0" fontId="33" fillId="0" borderId="4" xfId="0" quotePrefix="1" applyFont="1" applyBorder="1" applyAlignment="1">
      <alignment horizontal="left" vertical="center" wrapText="1"/>
    </xf>
    <xf numFmtId="0" fontId="33" fillId="0" borderId="0" xfId="0" quotePrefix="1" applyFont="1" applyAlignment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/>
    </xf>
    <xf numFmtId="0" fontId="25" fillId="8" borderId="27" xfId="0" applyFont="1" applyFill="1" applyBorder="1" applyAlignment="1">
      <alignment horizontal="center"/>
    </xf>
    <xf numFmtId="0" fontId="25" fillId="8" borderId="0" xfId="0" applyFont="1" applyFill="1" applyAlignment="1">
      <alignment horizontal="center"/>
    </xf>
    <xf numFmtId="0" fontId="18" fillId="0" borderId="6" xfId="0" quotePrefix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1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8">
    <dxf>
      <numFmt numFmtId="165" formatCode="&quot;$&quot;#,##0.00"/>
    </dxf>
    <dxf>
      <numFmt numFmtId="3" formatCode="#,##0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941433-43EF-46B1-85B5-DE621B70BE6D}" name="Table13" displayName="Table13" ref="A1:Y140">
  <autoFilter ref="A1:Y140" xr:uid="{A4941433-43EF-46B1-85B5-DE621B70BE6D}"/>
  <sortState xmlns:xlrd2="http://schemas.microsoft.com/office/spreadsheetml/2017/richdata2" ref="A4:Y136">
    <sortCondition ref="D1:D140"/>
  </sortState>
  <tableColumns count="25">
    <tableColumn id="21" xr3:uid="{2BD0635D-8C9E-4269-B614-AC4542E75C7C}" name="Unit Name"/>
    <tableColumn id="22" xr3:uid="{23864C6C-8B16-4C68-988D-5F8F7EA645CD}" name="Service Area"/>
    <tableColumn id="4" xr3:uid="{F5A03B8A-FA12-4525-A5E7-A5E3F7B923ED}" name="Unit Type"/>
    <tableColumn id="5" xr3:uid="{825120A3-854D-4AD1-9001-D14AF1BB2C93}" name="Unit"/>
    <tableColumn id="6" xr3:uid="{3CAAEF96-A996-458D-A931-83479EA9DFEC}" name="12/31/2021"/>
    <tableColumn id="10" xr3:uid="{348AD1D9-8CBC-415A-8295-14578F37D8E2}" name="7/31/2022" dataDxfId="17"/>
    <tableColumn id="11" xr3:uid="{6A5FF563-9281-4B4C-AC86-72907E390C2D}" name="10/31/2022" dataDxfId="16"/>
    <tableColumn id="1" xr3:uid="{750A1724-1094-4E47-B6B5-7C22FB880F2C}" name="12/31/2022" dataDxfId="15"/>
    <tableColumn id="2" xr3:uid="{E83CC872-68C9-4D43-B0F2-5519766A38E0}" name="6/30/2023" dataDxfId="14"/>
    <tableColumn id="8" xr3:uid="{449FD655-20B3-4509-8348-C0F9F716B714}" name="12/31/2023" dataDxfId="13"/>
    <tableColumn id="25" xr3:uid="{9FFD74CC-FABA-4B51-B100-660558C499DD}" name="6/30/2024" dataDxfId="12"/>
    <tableColumn id="12" xr3:uid="{14A85B2D-76F3-487D-80CB-C1EC92229EE0}" name="Recruited 23" dataDxfId="11"/>
    <tableColumn id="13" xr3:uid="{94CB0F0F-EB8E-401E-B714-2FD13C82BF36}" name="Troop Growth Goal" dataDxfId="10">
      <calculatedColumnFormula>Table13[[#This Row],[12/31/2023]]+1</calculatedColumnFormula>
    </tableColumn>
    <tableColumn id="14" xr3:uid="{74F334D4-97D9-450B-86B3-F171E039E025}" name="Pack Recruit Goal" dataDxfId="9">
      <calculatedColumnFormula>Table13[[#This Row],[Recruited 23]]+1</calculatedColumnFormula>
    </tableColumn>
    <tableColumn id="23" xr3:uid="{AEAD94CC-E8C9-443B-918B-0914176A39B3}" name="Min Recruit Goal" dataDxfId="8">
      <calculatedColumnFormula>IF(Table13[[#This Row],[Unit Type]]="Pack",10,12)</calculatedColumnFormula>
    </tableColumn>
    <tableColumn id="16" xr3:uid="{54D13FD8-7DF1-445F-8F5B-05D21BC82451}" name="Pack Recruit Growth Goal" dataDxfId="7">
      <calculatedColumnFormula>MAX(Table13[[#This Row],[Pack Recruit Goal]:[Min Recruit Goal]])</calculatedColumnFormula>
    </tableColumn>
    <tableColumn id="15" xr3:uid="{417A19A9-27CC-484D-8775-69595679C4FD}" name="End Goal" dataDxfId="6">
      <calculatedColumnFormula>IF(Table13[[#This Row],[Unit Type]]="Pack",Table13[[#This Row],[Pack Recruit Growth Goal]],IF(Table13[[#This Row],[Troop Growth Goal]]&gt;11,Table13[[#This Row],[Troop Growth Goal]],Table13[[#This Row],[Min Recruit Goal]]))</calculatedColumnFormula>
    </tableColumn>
    <tableColumn id="24" xr3:uid="{06A38771-5CAF-4D1D-8677-DCAF70084983}" name="To Go" dataDxfId="5">
      <calculatedColumnFormula>Table13[[#This Row],[End Goal]]-Table13[[#This Row],[6/30/2023]]</calculatedColumnFormula>
    </tableColumn>
    <tableColumn id="17" xr3:uid="{98775389-9B8E-4E93-9341-DE2EE1FA4B37}" name="2021 Sales" dataCellStyle="Currency"/>
    <tableColumn id="3" xr3:uid="{59042E16-E8F4-4115-B935-7C56210390ED}" name="2022 Sales" dataDxfId="4" dataCellStyle="Currency"/>
    <tableColumn id="7" xr3:uid="{25DC722E-B611-4C06-B731-B096C1C26548}" name="2023 Sales" dataDxfId="3" dataCellStyle="Currency"/>
    <tableColumn id="9" xr3:uid="{21868AE6-68DB-44B3-AB37-B5803085153B}" name="Double 2023" dataDxfId="2" dataCellStyle="Currency">
      <calculatedColumnFormula>Table13[[#This Row],[2023 Sales]]*2</calculatedColumnFormula>
    </tableColumn>
    <tableColumn id="18" xr3:uid="{8B635156-6CCC-488A-B0EC-70A427BBD421}" name="Min 4K" dataDxfId="1">
      <calculatedColumnFormula>IF(Table13[[#This Row],[Double 2023]]&lt;4000,4000,0)</calculatedColumnFormula>
    </tableColumn>
    <tableColumn id="19" xr3:uid="{2E182BD9-E927-4930-82D3-5E3BAD7A7704}" name="Max of goals" dataCellStyle="Currency">
      <calculatedColumnFormula>MAX(Table13[[#This Row],[Double 2023]:[Min 4K]])</calculatedColumnFormula>
    </tableColumn>
    <tableColumn id="20" xr3:uid="{D81B871E-7604-4F0A-8C9E-BB5C126BFBAA}" name="2024 Sales Growth Goal " dataDxfId="0" dataCellStyle="Currency">
      <calculatedColumnFormula>IF(Table13[[#This Row],[Max of goals]]&gt;15000,15000,Table13[[#This Row],[Max of goals]])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thwaytotherockies.org/resources/popcorn/commission-structure-explained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athwaytotherockies.org/sample-wagon-sales-contract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athwaytotherockies.org/2023-te-storefront-gui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92DB-3116-42FB-ACC7-DBDC01DF7F0F}">
  <sheetPr>
    <pageSetUpPr fitToPage="1"/>
  </sheetPr>
  <dimension ref="B2:F37"/>
  <sheetViews>
    <sheetView tabSelected="1" zoomScaleNormal="100" workbookViewId="0">
      <selection activeCell="B33" sqref="B33:F35"/>
    </sheetView>
  </sheetViews>
  <sheetFormatPr defaultRowHeight="15" x14ac:dyDescent="0.25"/>
  <cols>
    <col min="2" max="2" width="36.85546875" customWidth="1"/>
    <col min="3" max="3" width="36.5703125" customWidth="1"/>
    <col min="4" max="4" width="3.5703125" customWidth="1"/>
    <col min="5" max="5" width="20.7109375" customWidth="1"/>
    <col min="6" max="6" width="41.5703125" customWidth="1"/>
  </cols>
  <sheetData>
    <row r="2" spans="2:6" ht="20.25" x14ac:dyDescent="0.3">
      <c r="B2" s="76" t="s">
        <v>44</v>
      </c>
      <c r="C2" s="142" t="s">
        <v>48</v>
      </c>
      <c r="D2" s="143"/>
      <c r="E2" s="143"/>
      <c r="F2" s="143"/>
    </row>
    <row r="3" spans="2:6" ht="15.75" hidden="1" customHeight="1" x14ac:dyDescent="0.25">
      <c r="E3" s="54" t="str">
        <f>VLOOKUP(C$2,Data!A$1:Y$142,3,FALSE)</f>
        <v>Unit Type</v>
      </c>
      <c r="F3" s="54"/>
    </row>
    <row r="4" spans="2:6" ht="15.75" customHeight="1" thickBot="1" x14ac:dyDescent="0.3">
      <c r="E4" s="54"/>
      <c r="F4" s="54"/>
    </row>
    <row r="5" spans="2:6" ht="18" x14ac:dyDescent="0.25">
      <c r="B5" s="75" t="s">
        <v>43</v>
      </c>
      <c r="C5" s="74">
        <v>0.3</v>
      </c>
      <c r="D5" s="73"/>
      <c r="E5" s="103" t="s">
        <v>33</v>
      </c>
      <c r="F5" s="104" t="s">
        <v>49</v>
      </c>
    </row>
    <row r="6" spans="2:6" ht="15.75" thickBot="1" x14ac:dyDescent="0.3">
      <c r="B6" s="144" t="s">
        <v>215</v>
      </c>
      <c r="C6" s="145"/>
      <c r="D6" s="105"/>
      <c r="E6" s="106" t="str">
        <f>VLOOKUP(C$2,Data!A$1:Y$142,4,FALSE)</f>
        <v>Unit</v>
      </c>
      <c r="F6" s="107" t="str">
        <f>VLOOKUP(C$2,Data!A$1:Y$142,2,FALSE)</f>
        <v>Service Area</v>
      </c>
    </row>
    <row r="7" spans="2:6" ht="8.1" customHeight="1" x14ac:dyDescent="0.25">
      <c r="B7" s="77"/>
      <c r="C7" s="108"/>
      <c r="D7" s="108"/>
      <c r="E7" s="109"/>
      <c r="F7" s="78"/>
    </row>
    <row r="8" spans="2:6" ht="18.75" thickBot="1" x14ac:dyDescent="0.3">
      <c r="B8" s="66" t="s">
        <v>42</v>
      </c>
      <c r="C8" s="65">
        <v>0.05</v>
      </c>
      <c r="D8" s="64"/>
      <c r="F8" s="21"/>
    </row>
    <row r="9" spans="2:6" ht="18.75" thickBot="1" x14ac:dyDescent="0.3">
      <c r="B9" s="146" t="s">
        <v>372</v>
      </c>
      <c r="C9" s="147"/>
      <c r="D9" s="102"/>
      <c r="E9" s="139" t="str">
        <f>IF(E3="Pack", "Recruited in 2023", "12-31-23 Members")</f>
        <v>12-31-23 Members</v>
      </c>
      <c r="F9" s="140" t="str">
        <f>VLOOKUP(C$2,Data!A$1:Y$142,IF(E3="Pack",12,10),FALSE)</f>
        <v>12/31/2023</v>
      </c>
    </row>
    <row r="10" spans="2:6" ht="18.75" thickBot="1" x14ac:dyDescent="0.3">
      <c r="B10" s="128" t="s">
        <v>374</v>
      </c>
      <c r="C10" s="129"/>
      <c r="D10" s="102"/>
      <c r="E10" s="139"/>
      <c r="F10" s="140"/>
    </row>
    <row r="11" spans="2:6" ht="18.75" thickBot="1" x14ac:dyDescent="0.3">
      <c r="B11" s="128" t="s">
        <v>373</v>
      </c>
      <c r="C11" s="129"/>
      <c r="D11" s="102"/>
      <c r="E11" s="139" t="s">
        <v>381</v>
      </c>
      <c r="F11" s="140" t="str">
        <f>VLOOKUP(C$2,Data!A$1:Y$142,11,FALSE)</f>
        <v>6/30/2024</v>
      </c>
    </row>
    <row r="12" spans="2:6" ht="18.75" thickBot="1" x14ac:dyDescent="0.3">
      <c r="B12" s="128" t="s">
        <v>379</v>
      </c>
      <c r="C12" s="129"/>
      <c r="D12" s="102"/>
      <c r="E12" s="139"/>
      <c r="F12" s="140"/>
    </row>
    <row r="13" spans="2:6" ht="18.75" thickBot="1" x14ac:dyDescent="0.3">
      <c r="B13" s="128" t="s">
        <v>41</v>
      </c>
      <c r="C13" s="129"/>
      <c r="D13" s="102"/>
      <c r="E13" s="139" t="str">
        <f>IF(E3="Pack", "New recruit goal 2024", "10-31-2024 Goal")</f>
        <v>10-31-2024 Goal</v>
      </c>
      <c r="F13" s="141" t="str">
        <f>VLOOKUP(C$2,Data!A$1:Y$142,17,FALSE)</f>
        <v>End Goal</v>
      </c>
    </row>
    <row r="14" spans="2:6" ht="18.75" thickBot="1" x14ac:dyDescent="0.3">
      <c r="B14" s="128"/>
      <c r="C14" s="129"/>
      <c r="D14" s="102"/>
      <c r="E14" s="139"/>
      <c r="F14" s="141"/>
    </row>
    <row r="15" spans="2:6" ht="18" x14ac:dyDescent="0.25">
      <c r="B15" s="137" t="s">
        <v>199</v>
      </c>
      <c r="C15" s="138"/>
      <c r="D15" s="102"/>
      <c r="F15" s="9"/>
    </row>
    <row r="16" spans="2:6" ht="18" x14ac:dyDescent="0.25">
      <c r="B16" s="128" t="s">
        <v>384</v>
      </c>
      <c r="C16" s="129"/>
      <c r="D16" s="102"/>
      <c r="F16" s="9"/>
    </row>
    <row r="17" spans="2:6" ht="18" x14ac:dyDescent="0.25">
      <c r="B17" s="128" t="s">
        <v>385</v>
      </c>
      <c r="C17" s="129"/>
      <c r="D17" s="102"/>
      <c r="F17" s="9"/>
    </row>
    <row r="18" spans="2:6" ht="18" customHeight="1" x14ac:dyDescent="0.25">
      <c r="B18" s="128" t="s">
        <v>41</v>
      </c>
      <c r="C18" s="129"/>
      <c r="D18" s="102"/>
      <c r="F18" s="9"/>
    </row>
    <row r="19" spans="2:6" ht="18" x14ac:dyDescent="0.25">
      <c r="B19" s="128"/>
      <c r="C19" s="129"/>
      <c r="D19" s="102"/>
      <c r="F19" s="9"/>
    </row>
    <row r="20" spans="2:6" ht="8.1" customHeight="1" x14ac:dyDescent="0.25">
      <c r="B20" s="79"/>
      <c r="C20" s="108"/>
      <c r="D20" s="108"/>
      <c r="E20" s="109"/>
      <c r="F20" s="80"/>
    </row>
    <row r="21" spans="2:6" ht="18" x14ac:dyDescent="0.25">
      <c r="B21" s="66" t="s">
        <v>39</v>
      </c>
      <c r="C21" s="65">
        <v>0.05</v>
      </c>
      <c r="D21" s="64"/>
      <c r="E21" s="83" t="s">
        <v>363</v>
      </c>
      <c r="F21" s="97" t="str">
        <f>VLOOKUP(C$2,Data!A$1:Y$142,21,FALSE)</f>
        <v>2023 Sales</v>
      </c>
    </row>
    <row r="22" spans="2:6" ht="15.75" x14ac:dyDescent="0.25">
      <c r="B22" s="128" t="s">
        <v>38</v>
      </c>
      <c r="C22" s="130"/>
      <c r="D22" s="110"/>
      <c r="E22" s="110"/>
      <c r="F22" s="67"/>
    </row>
    <row r="23" spans="2:6" ht="15.75" x14ac:dyDescent="0.25">
      <c r="B23" s="131" t="s">
        <v>37</v>
      </c>
      <c r="C23" s="129"/>
      <c r="D23" s="110"/>
      <c r="E23" s="83" t="s">
        <v>388</v>
      </c>
      <c r="F23" s="98" t="str">
        <f>VLOOKUP(C$2,Data!A$1:Y$142,25,FALSE)</f>
        <v xml:space="preserve">2024 Sales Growth Goal </v>
      </c>
    </row>
    <row r="24" spans="2:6" ht="15.75" x14ac:dyDescent="0.25">
      <c r="B24" s="128" t="s">
        <v>225</v>
      </c>
      <c r="C24" s="129"/>
      <c r="D24" s="110"/>
      <c r="E24" s="54"/>
      <c r="F24" s="67"/>
    </row>
    <row r="25" spans="2:6" x14ac:dyDescent="0.25">
      <c r="B25" s="132" t="s">
        <v>226</v>
      </c>
      <c r="C25" s="133"/>
      <c r="D25" s="110"/>
      <c r="E25" s="111" t="s">
        <v>45</v>
      </c>
      <c r="F25" s="82" t="e">
        <f>F23/195</f>
        <v>#VALUE!</v>
      </c>
    </row>
    <row r="26" spans="2:6" ht="15.75" x14ac:dyDescent="0.25">
      <c r="B26" s="72"/>
      <c r="C26" s="71"/>
      <c r="D26" s="70"/>
      <c r="E26" s="69"/>
      <c r="F26" s="68"/>
    </row>
    <row r="27" spans="2:6" ht="8.1" customHeight="1" x14ac:dyDescent="0.25">
      <c r="B27" s="81"/>
      <c r="C27" s="108"/>
      <c r="D27" s="108"/>
      <c r="E27" s="109"/>
      <c r="F27" s="80"/>
    </row>
    <row r="28" spans="2:6" ht="18" x14ac:dyDescent="0.25">
      <c r="B28" s="66" t="s">
        <v>47</v>
      </c>
      <c r="C28" s="65">
        <v>0.03</v>
      </c>
      <c r="D28" s="64"/>
      <c r="E28" s="63" t="s">
        <v>36</v>
      </c>
      <c r="F28" s="62">
        <v>25000</v>
      </c>
    </row>
    <row r="29" spans="2:6" ht="18" x14ac:dyDescent="0.25">
      <c r="B29" s="134" t="s">
        <v>35</v>
      </c>
      <c r="C29" s="135"/>
      <c r="D29" s="102"/>
      <c r="E29" s="102"/>
      <c r="F29" s="60"/>
    </row>
    <row r="30" spans="2:6" ht="18" x14ac:dyDescent="0.25">
      <c r="B30" s="61"/>
      <c r="C30" s="102"/>
      <c r="D30" s="102"/>
      <c r="E30" s="111" t="s">
        <v>45</v>
      </c>
      <c r="F30" s="82">
        <f>F28/195</f>
        <v>128.2051282051282</v>
      </c>
    </row>
    <row r="31" spans="2:6" ht="18.75" thickBot="1" x14ac:dyDescent="0.3">
      <c r="B31" s="59" t="s">
        <v>34</v>
      </c>
      <c r="C31" s="58">
        <v>0.43</v>
      </c>
      <c r="D31" s="57"/>
      <c r="E31" s="56"/>
      <c r="F31" s="55"/>
    </row>
    <row r="32" spans="2:6" x14ac:dyDescent="0.25">
      <c r="E32" s="54"/>
      <c r="F32" s="54"/>
    </row>
    <row r="33" spans="2:6" x14ac:dyDescent="0.25">
      <c r="B33" s="136" t="s">
        <v>214</v>
      </c>
      <c r="C33" s="136"/>
      <c r="D33" s="136"/>
      <c r="E33" s="136"/>
      <c r="F33" s="136"/>
    </row>
    <row r="34" spans="2:6" x14ac:dyDescent="0.25">
      <c r="B34" s="136"/>
      <c r="C34" s="136"/>
      <c r="D34" s="136"/>
      <c r="E34" s="136"/>
      <c r="F34" s="136"/>
    </row>
    <row r="35" spans="2:6" x14ac:dyDescent="0.25">
      <c r="B35" s="136"/>
      <c r="C35" s="136"/>
      <c r="D35" s="136"/>
      <c r="E35" s="136"/>
      <c r="F35" s="136"/>
    </row>
    <row r="36" spans="2:6" x14ac:dyDescent="0.25">
      <c r="E36" s="54"/>
      <c r="F36" s="54"/>
    </row>
    <row r="37" spans="2:6" ht="18.75" x14ac:dyDescent="0.3">
      <c r="B37" s="127" t="s">
        <v>197</v>
      </c>
      <c r="C37" s="127"/>
      <c r="D37" s="127"/>
      <c r="E37" s="127"/>
      <c r="F37" s="127"/>
    </row>
  </sheetData>
  <sheetProtection sheet="1" objects="1" scenarios="1"/>
  <protectedRanges>
    <protectedRange sqref="C2" name="Range1"/>
  </protectedRanges>
  <mergeCells count="26">
    <mergeCell ref="C2:F2"/>
    <mergeCell ref="B6:C6"/>
    <mergeCell ref="B9:C9"/>
    <mergeCell ref="E9:E10"/>
    <mergeCell ref="F9:F10"/>
    <mergeCell ref="B10:C10"/>
    <mergeCell ref="B15:C15"/>
    <mergeCell ref="B19:C19"/>
    <mergeCell ref="B11:C11"/>
    <mergeCell ref="E11:E12"/>
    <mergeCell ref="F11:F12"/>
    <mergeCell ref="B12:C12"/>
    <mergeCell ref="B13:C13"/>
    <mergeCell ref="E13:E14"/>
    <mergeCell ref="F13:F14"/>
    <mergeCell ref="B14:C14"/>
    <mergeCell ref="B37:F37"/>
    <mergeCell ref="B16:C16"/>
    <mergeCell ref="B17:C17"/>
    <mergeCell ref="B18:C18"/>
    <mergeCell ref="B22:C22"/>
    <mergeCell ref="B23:C23"/>
    <mergeCell ref="B24:C24"/>
    <mergeCell ref="B25:C25"/>
    <mergeCell ref="B29:C29"/>
    <mergeCell ref="B33:F35"/>
  </mergeCells>
  <hyperlinks>
    <hyperlink ref="B37:F37" r:id="rId1" display="Learn more about the Pathway to the Rockies Council Commission Structure HERE" xr:uid="{A2FBE3D0-B8D3-4B4A-BF40-AB7D27A3B24D}"/>
  </hyperlinks>
  <pageMargins left="0.7" right="0.7" top="0.75" bottom="0.75" header="0.3" footer="0.3"/>
  <pageSetup paperSize="256" scale="84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E704D9-4E88-47B8-98F1-5C7B10FACCCC}">
          <x14:formula1>
            <xm:f>Data!$A$1:$A$172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F07D-0C44-42C4-9DF1-2B10FC469E32}">
  <dimension ref="B1:R31"/>
  <sheetViews>
    <sheetView topLeftCell="A2" workbookViewId="0">
      <selection activeCell="E19" sqref="E19"/>
    </sheetView>
  </sheetViews>
  <sheetFormatPr defaultRowHeight="15" x14ac:dyDescent="0.25"/>
  <cols>
    <col min="2" max="2" width="25.28515625" bestFit="1" customWidth="1"/>
    <col min="3" max="4" width="12.85546875" bestFit="1" customWidth="1"/>
    <col min="5" max="6" width="14.42578125" bestFit="1" customWidth="1"/>
    <col min="7" max="7" width="12.5703125" bestFit="1" customWidth="1"/>
    <col min="8" max="8" width="14.42578125" bestFit="1" customWidth="1"/>
    <col min="9" max="9" width="16.28515625" customWidth="1"/>
  </cols>
  <sheetData>
    <row r="1" spans="2:18" s="51" customFormat="1" ht="29.25" customHeight="1" x14ac:dyDescent="0.25">
      <c r="B1" s="151" t="s">
        <v>396</v>
      </c>
      <c r="C1" s="151"/>
      <c r="D1" s="151"/>
      <c r="E1" s="151"/>
      <c r="F1" s="151"/>
      <c r="G1" s="151"/>
      <c r="H1" s="151"/>
      <c r="I1" s="151"/>
    </row>
    <row r="2" spans="2:18" s="51" customFormat="1" ht="33" customHeight="1" x14ac:dyDescent="0.25">
      <c r="B2" s="151" t="s">
        <v>32</v>
      </c>
      <c r="C2" s="151"/>
      <c r="D2" s="151"/>
      <c r="E2" s="151"/>
      <c r="F2" s="151"/>
      <c r="G2" s="151"/>
      <c r="H2" s="151"/>
      <c r="I2" s="151"/>
    </row>
    <row r="3" spans="2:18" ht="15.75" thickBot="1" x14ac:dyDescent="0.3">
      <c r="D3" s="5"/>
      <c r="E3" s="5"/>
      <c r="F3" s="5"/>
      <c r="G3" s="5"/>
      <c r="H3" s="5"/>
    </row>
    <row r="4" spans="2:18" ht="21" x14ac:dyDescent="0.35">
      <c r="B4" s="152" t="s">
        <v>19</v>
      </c>
      <c r="C4" s="153"/>
      <c r="D4" s="153"/>
      <c r="E4" s="153"/>
      <c r="F4" s="153"/>
      <c r="G4" s="153"/>
      <c r="H4" s="153"/>
      <c r="I4" s="154"/>
    </row>
    <row r="5" spans="2:18" x14ac:dyDescent="0.25">
      <c r="B5" s="155" t="s">
        <v>20</v>
      </c>
      <c r="C5" s="156"/>
      <c r="D5" s="156"/>
      <c r="E5" s="156"/>
      <c r="F5" s="156"/>
      <c r="G5" s="156"/>
      <c r="H5" s="156"/>
      <c r="I5" s="9"/>
    </row>
    <row r="6" spans="2:18" x14ac:dyDescent="0.25">
      <c r="B6" s="10"/>
      <c r="I6" s="9"/>
    </row>
    <row r="7" spans="2:18" x14ac:dyDescent="0.25">
      <c r="B7" s="11" t="s">
        <v>4</v>
      </c>
      <c r="C7" s="112" t="s">
        <v>6</v>
      </c>
      <c r="D7" s="112" t="s">
        <v>5</v>
      </c>
      <c r="E7" s="112" t="s">
        <v>0</v>
      </c>
      <c r="F7" s="112" t="s">
        <v>1</v>
      </c>
      <c r="G7" s="112" t="s">
        <v>219</v>
      </c>
      <c r="H7" s="112" t="s">
        <v>7</v>
      </c>
      <c r="I7" s="9" t="s">
        <v>17</v>
      </c>
    </row>
    <row r="8" spans="2:18" x14ac:dyDescent="0.25">
      <c r="B8" s="11" t="s">
        <v>2</v>
      </c>
      <c r="C8" s="40">
        <v>12</v>
      </c>
      <c r="D8" s="40">
        <v>9</v>
      </c>
      <c r="E8" s="41">
        <v>12</v>
      </c>
      <c r="F8" s="41">
        <v>12</v>
      </c>
      <c r="G8" s="41">
        <v>12</v>
      </c>
      <c r="H8" s="41">
        <v>6</v>
      </c>
      <c r="I8" s="9"/>
      <c r="R8" s="85"/>
    </row>
    <row r="9" spans="2:18" x14ac:dyDescent="0.25">
      <c r="B9" s="12" t="s">
        <v>3</v>
      </c>
      <c r="C9" s="3">
        <v>15</v>
      </c>
      <c r="D9" s="3">
        <v>15</v>
      </c>
      <c r="E9" s="13">
        <v>20</v>
      </c>
      <c r="F9" s="13">
        <v>25</v>
      </c>
      <c r="G9" s="13">
        <v>25</v>
      </c>
      <c r="H9" s="13">
        <v>25</v>
      </c>
      <c r="I9" s="9"/>
      <c r="R9" s="85"/>
    </row>
    <row r="10" spans="2:18" ht="18.75" x14ac:dyDescent="0.3">
      <c r="B10" s="11" t="s">
        <v>10</v>
      </c>
      <c r="C10" s="52">
        <v>6</v>
      </c>
      <c r="D10" s="52">
        <v>2</v>
      </c>
      <c r="E10" s="52">
        <v>6</v>
      </c>
      <c r="F10" s="52">
        <v>6</v>
      </c>
      <c r="G10" s="52">
        <v>4</v>
      </c>
      <c r="H10" s="52">
        <v>3</v>
      </c>
      <c r="I10" s="9">
        <f>SUM(C10:H10)</f>
        <v>27</v>
      </c>
      <c r="R10" s="85"/>
    </row>
    <row r="11" spans="2:18" x14ac:dyDescent="0.25">
      <c r="B11" s="12" t="s">
        <v>216</v>
      </c>
      <c r="C11" s="14">
        <f t="shared" ref="C11:H11" si="0">C10/$I10</f>
        <v>0.22222222222222221</v>
      </c>
      <c r="D11" s="14">
        <f t="shared" si="0"/>
        <v>7.407407407407407E-2</v>
      </c>
      <c r="E11" s="14">
        <f t="shared" si="0"/>
        <v>0.22222222222222221</v>
      </c>
      <c r="F11" s="14">
        <f t="shared" si="0"/>
        <v>0.22222222222222221</v>
      </c>
      <c r="G11" s="14">
        <f t="shared" si="0"/>
        <v>0.14814814814814814</v>
      </c>
      <c r="H11" s="14">
        <f t="shared" si="0"/>
        <v>0.1111111111111111</v>
      </c>
      <c r="I11" s="9"/>
      <c r="R11" s="85"/>
    </row>
    <row r="12" spans="2:18" x14ac:dyDescent="0.25">
      <c r="B12" s="12" t="s">
        <v>362</v>
      </c>
      <c r="C12" s="14">
        <f t="shared" ref="C12:H12" si="1">(C10*C9)/$I$14</f>
        <v>0.15929203539823009</v>
      </c>
      <c r="D12" s="14">
        <f t="shared" si="1"/>
        <v>5.3097345132743362E-2</v>
      </c>
      <c r="E12" s="14">
        <f t="shared" si="1"/>
        <v>0.21238938053097345</v>
      </c>
      <c r="F12" s="14">
        <f t="shared" si="1"/>
        <v>0.26548672566371684</v>
      </c>
      <c r="G12" s="14">
        <f t="shared" si="1"/>
        <v>0.17699115044247787</v>
      </c>
      <c r="H12" s="14">
        <f t="shared" si="1"/>
        <v>0.13274336283185842</v>
      </c>
      <c r="I12" s="9"/>
      <c r="R12" s="85"/>
    </row>
    <row r="13" spans="2:18" x14ac:dyDescent="0.25">
      <c r="B13" s="15" t="s">
        <v>220</v>
      </c>
      <c r="C13" s="84">
        <v>0.22</v>
      </c>
      <c r="D13" s="84">
        <v>6.9000000000000006E-2</v>
      </c>
      <c r="E13" s="84">
        <v>0.28000000000000003</v>
      </c>
      <c r="F13" s="84">
        <v>0.17399999999999999</v>
      </c>
      <c r="G13" s="84">
        <v>0.13300000000000001</v>
      </c>
      <c r="H13" s="84">
        <v>0.124</v>
      </c>
      <c r="I13" s="9"/>
      <c r="R13" s="85"/>
    </row>
    <row r="14" spans="2:18" ht="15.75" thickBot="1" x14ac:dyDescent="0.3">
      <c r="B14" s="16" t="s">
        <v>11</v>
      </c>
      <c r="C14" s="17">
        <f t="shared" ref="C14:H14" si="2">C10*C9</f>
        <v>90</v>
      </c>
      <c r="D14" s="17">
        <f t="shared" si="2"/>
        <v>30</v>
      </c>
      <c r="E14" s="17">
        <f t="shared" si="2"/>
        <v>120</v>
      </c>
      <c r="F14" s="17">
        <f t="shared" si="2"/>
        <v>150</v>
      </c>
      <c r="G14" s="17">
        <f t="shared" si="2"/>
        <v>100</v>
      </c>
      <c r="H14" s="17">
        <f t="shared" si="2"/>
        <v>75</v>
      </c>
      <c r="I14" s="18">
        <f>SUM(C14:H14)</f>
        <v>565</v>
      </c>
      <c r="R14" s="85"/>
    </row>
    <row r="15" spans="2:18" ht="15.75" thickBot="1" x14ac:dyDescent="0.3">
      <c r="R15" s="85"/>
    </row>
    <row r="16" spans="2:18" ht="20.25" x14ac:dyDescent="0.3">
      <c r="B16" s="157" t="s">
        <v>21</v>
      </c>
      <c r="C16" s="158"/>
      <c r="D16" s="158"/>
      <c r="E16" s="158"/>
      <c r="F16" s="158"/>
      <c r="G16" s="158"/>
      <c r="H16" s="158"/>
      <c r="I16" s="159"/>
    </row>
    <row r="17" spans="2:9" x14ac:dyDescent="0.25">
      <c r="B17" s="148" t="s">
        <v>22</v>
      </c>
      <c r="C17" s="149"/>
      <c r="D17" s="149"/>
      <c r="E17" s="149"/>
      <c r="F17" s="149"/>
      <c r="G17" s="149"/>
      <c r="H17" s="149"/>
      <c r="I17" s="150"/>
    </row>
    <row r="18" spans="2:9" x14ac:dyDescent="0.25">
      <c r="B18" s="10"/>
      <c r="I18" s="9"/>
    </row>
    <row r="19" spans="2:9" ht="18.75" x14ac:dyDescent="0.3">
      <c r="B19" s="10" t="s">
        <v>12</v>
      </c>
      <c r="C19" s="52">
        <v>10</v>
      </c>
      <c r="I19" s="9"/>
    </row>
    <row r="20" spans="2:9" x14ac:dyDescent="0.25">
      <c r="B20" s="10"/>
      <c r="I20" s="9"/>
    </row>
    <row r="21" spans="2:9" x14ac:dyDescent="0.25">
      <c r="B21" s="11" t="s">
        <v>4</v>
      </c>
      <c r="C21" t="s">
        <v>6</v>
      </c>
      <c r="D21" t="s">
        <v>5</v>
      </c>
      <c r="E21" t="s">
        <v>0</v>
      </c>
      <c r="F21" t="s">
        <v>1</v>
      </c>
      <c r="G21" t="s">
        <v>219</v>
      </c>
      <c r="H21" t="s">
        <v>7</v>
      </c>
      <c r="I21" s="9"/>
    </row>
    <row r="22" spans="2:9" ht="15.75" thickBot="1" x14ac:dyDescent="0.3">
      <c r="B22" s="19" t="s">
        <v>13</v>
      </c>
      <c r="C22" s="20">
        <f t="shared" ref="C22:H22" si="3">$C19*C10</f>
        <v>60</v>
      </c>
      <c r="D22" s="20">
        <f t="shared" si="3"/>
        <v>20</v>
      </c>
      <c r="E22" s="20">
        <f t="shared" si="3"/>
        <v>60</v>
      </c>
      <c r="F22" s="20">
        <f t="shared" si="3"/>
        <v>60</v>
      </c>
      <c r="G22" s="20">
        <f t="shared" si="3"/>
        <v>40</v>
      </c>
      <c r="H22" s="20">
        <f t="shared" si="3"/>
        <v>30</v>
      </c>
      <c r="I22" s="21">
        <f>SUM(C22:H22)</f>
        <v>270</v>
      </c>
    </row>
    <row r="24" spans="2:9" ht="15.75" thickBot="1" x14ac:dyDescent="0.3">
      <c r="B24" s="1" t="s">
        <v>4</v>
      </c>
      <c r="C24" t="s">
        <v>6</v>
      </c>
      <c r="D24" t="s">
        <v>5</v>
      </c>
      <c r="E24" t="s">
        <v>0</v>
      </c>
      <c r="F24" t="s">
        <v>1</v>
      </c>
      <c r="G24" t="s">
        <v>219</v>
      </c>
      <c r="H24" t="s">
        <v>7</v>
      </c>
    </row>
    <row r="25" spans="2:9" ht="15.75" hidden="1" thickBot="1" x14ac:dyDescent="0.3">
      <c r="B25" t="s">
        <v>14</v>
      </c>
      <c r="C25">
        <f t="shared" ref="C25:H25" si="4">C22/C8</f>
        <v>5</v>
      </c>
      <c r="D25">
        <f t="shared" si="4"/>
        <v>2.2222222222222223</v>
      </c>
      <c r="E25">
        <f t="shared" si="4"/>
        <v>5</v>
      </c>
      <c r="F25">
        <f t="shared" si="4"/>
        <v>5</v>
      </c>
      <c r="G25">
        <f t="shared" si="4"/>
        <v>3.3333333333333335</v>
      </c>
      <c r="H25">
        <f t="shared" si="4"/>
        <v>5</v>
      </c>
    </row>
    <row r="26" spans="2:9" ht="16.5" thickBot="1" x14ac:dyDescent="0.3">
      <c r="B26" s="25" t="s">
        <v>18</v>
      </c>
      <c r="C26" s="26">
        <f>ROUNDUP(C25,0)</f>
        <v>5</v>
      </c>
      <c r="D26" s="26">
        <f t="shared" ref="D26:H26" si="5">ROUNDUP(D25,0)</f>
        <v>3</v>
      </c>
      <c r="E26" s="26">
        <f t="shared" si="5"/>
        <v>5</v>
      </c>
      <c r="F26" s="26">
        <f t="shared" si="5"/>
        <v>5</v>
      </c>
      <c r="G26" s="26">
        <f t="shared" si="5"/>
        <v>4</v>
      </c>
      <c r="H26" s="26">
        <f t="shared" si="5"/>
        <v>5</v>
      </c>
    </row>
    <row r="27" spans="2:9" x14ac:dyDescent="0.25">
      <c r="B27" t="s">
        <v>15</v>
      </c>
      <c r="C27" s="7">
        <f t="shared" ref="C27:H27" si="6">C26*(C8*C9)</f>
        <v>900</v>
      </c>
      <c r="D27" s="7">
        <f t="shared" si="6"/>
        <v>405</v>
      </c>
      <c r="E27" s="7">
        <f t="shared" si="6"/>
        <v>1200</v>
      </c>
      <c r="F27" s="7">
        <f t="shared" si="6"/>
        <v>1500</v>
      </c>
      <c r="G27" s="7">
        <f t="shared" si="6"/>
        <v>1200</v>
      </c>
      <c r="H27" s="7">
        <f t="shared" si="6"/>
        <v>750</v>
      </c>
      <c r="I27" s="7">
        <f>SUM(C27:H27)</f>
        <v>5955</v>
      </c>
    </row>
    <row r="29" spans="2:9" x14ac:dyDescent="0.25">
      <c r="B29" t="s">
        <v>16</v>
      </c>
      <c r="C29">
        <f t="shared" ref="C29:H29" si="7">(C26*C8)-C22</f>
        <v>0</v>
      </c>
      <c r="D29">
        <f t="shared" si="7"/>
        <v>7</v>
      </c>
      <c r="E29">
        <f t="shared" si="7"/>
        <v>0</v>
      </c>
      <c r="F29">
        <f t="shared" si="7"/>
        <v>0</v>
      </c>
      <c r="G29">
        <f t="shared" si="7"/>
        <v>8</v>
      </c>
      <c r="H29">
        <f t="shared" si="7"/>
        <v>0</v>
      </c>
    </row>
    <row r="31" spans="2:9" ht="18.75" x14ac:dyDescent="0.3">
      <c r="B31" s="127" t="s">
        <v>198</v>
      </c>
      <c r="C31" s="127"/>
      <c r="D31" s="127"/>
      <c r="E31" s="127"/>
      <c r="F31" s="127"/>
      <c r="G31" s="127"/>
      <c r="H31" s="127"/>
      <c r="I31" s="127"/>
    </row>
  </sheetData>
  <sheetProtection sheet="1" objects="1" scenarios="1"/>
  <protectedRanges>
    <protectedRange sqref="C19 C10:H10" name="Range1"/>
  </protectedRanges>
  <mergeCells count="7">
    <mergeCell ref="B31:I31"/>
    <mergeCell ref="B17:I17"/>
    <mergeCell ref="B1:I1"/>
    <mergeCell ref="B2:I2"/>
    <mergeCell ref="B4:I4"/>
    <mergeCell ref="B5:H5"/>
    <mergeCell ref="B16:I16"/>
  </mergeCells>
  <hyperlinks>
    <hyperlink ref="B31:I31" r:id="rId1" display="CLICK HERE FOR A SAMPLE SHOW &amp; DELIVER KIT AND CONTRACT" xr:uid="{4EF3C9CE-10E0-40F0-9AFE-5E4EC3296967}"/>
  </hyperlinks>
  <pageMargins left="0.7" right="0.7" top="0.75" bottom="0.75" header="0.3" footer="0.3"/>
  <pageSetup paperSize="17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ED50-095D-4714-84ED-2FA7CA9A48CA}">
  <dimension ref="B1:J26"/>
  <sheetViews>
    <sheetView workbookViewId="0">
      <selection activeCell="C7" sqref="C7"/>
    </sheetView>
  </sheetViews>
  <sheetFormatPr defaultRowHeight="15" x14ac:dyDescent="0.25"/>
  <cols>
    <col min="1" max="1" width="2.5703125" customWidth="1"/>
    <col min="2" max="2" width="41" bestFit="1" customWidth="1"/>
    <col min="3" max="3" width="12.85546875" bestFit="1" customWidth="1"/>
    <col min="4" max="4" width="13.28515625" bestFit="1" customWidth="1"/>
    <col min="5" max="6" width="14.42578125" bestFit="1" customWidth="1"/>
    <col min="7" max="7" width="12" bestFit="1" customWidth="1"/>
    <col min="8" max="8" width="14.42578125" bestFit="1" customWidth="1"/>
    <col min="9" max="9" width="17.7109375" bestFit="1" customWidth="1"/>
    <col min="10" max="10" width="16.7109375" customWidth="1"/>
  </cols>
  <sheetData>
    <row r="1" spans="2:10" ht="18" x14ac:dyDescent="0.25">
      <c r="B1" s="151" t="s">
        <v>26</v>
      </c>
      <c r="C1" s="151"/>
      <c r="D1" s="151"/>
      <c r="E1" s="151"/>
      <c r="F1" s="151"/>
      <c r="G1" s="151"/>
      <c r="H1" s="151"/>
      <c r="I1" s="151"/>
      <c r="J1" s="151"/>
    </row>
    <row r="2" spans="2:10" ht="15.75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2:10" x14ac:dyDescent="0.25">
      <c r="B3" s="160" t="s">
        <v>27</v>
      </c>
      <c r="C3" s="161"/>
      <c r="D3" s="161"/>
      <c r="E3" s="161"/>
      <c r="F3" s="161"/>
      <c r="G3" s="161"/>
      <c r="H3" s="161"/>
      <c r="I3" s="162"/>
      <c r="J3" s="8"/>
    </row>
    <row r="4" spans="2:10" ht="15" customHeight="1" x14ac:dyDescent="0.25">
      <c r="B4" s="163" t="s">
        <v>28</v>
      </c>
      <c r="C4" s="164"/>
      <c r="D4" s="164"/>
      <c r="E4" s="164"/>
      <c r="F4" s="164"/>
      <c r="G4" s="164"/>
      <c r="H4" s="164"/>
      <c r="I4" s="165"/>
      <c r="J4" s="124"/>
    </row>
    <row r="5" spans="2:10" ht="15" customHeight="1" x14ac:dyDescent="0.25">
      <c r="B5" s="148" t="s">
        <v>29</v>
      </c>
      <c r="C5" s="149"/>
      <c r="D5" s="149"/>
      <c r="E5" s="149"/>
      <c r="F5" s="149"/>
      <c r="G5" s="149"/>
      <c r="H5" s="149"/>
      <c r="I5" s="150"/>
      <c r="J5" s="1"/>
    </row>
    <row r="6" spans="2:10" x14ac:dyDescent="0.25">
      <c r="B6" s="22"/>
      <c r="C6" s="5"/>
      <c r="D6" s="5"/>
      <c r="E6" s="5"/>
      <c r="F6" s="5"/>
      <c r="G6" s="5"/>
      <c r="H6" s="5"/>
      <c r="I6" s="23"/>
    </row>
    <row r="7" spans="2:10" ht="15.75" x14ac:dyDescent="0.25">
      <c r="B7" s="22" t="s">
        <v>8</v>
      </c>
      <c r="C7" s="121">
        <v>50</v>
      </c>
      <c r="D7" s="5"/>
      <c r="E7" s="5"/>
      <c r="F7" s="5"/>
      <c r="G7" s="5"/>
      <c r="H7" s="5"/>
      <c r="I7" s="23"/>
    </row>
    <row r="8" spans="2:10" ht="15.75" thickBot="1" x14ac:dyDescent="0.3">
      <c r="B8" s="10"/>
      <c r="I8" s="9"/>
    </row>
    <row r="9" spans="2:10" x14ac:dyDescent="0.25">
      <c r="B9" s="44" t="s">
        <v>4</v>
      </c>
      <c r="C9" s="113" t="s">
        <v>6</v>
      </c>
      <c r="D9" s="113" t="s">
        <v>5</v>
      </c>
      <c r="E9" s="113" t="s">
        <v>0</v>
      </c>
      <c r="F9" s="113" t="s">
        <v>1</v>
      </c>
      <c r="G9" s="113" t="s">
        <v>219</v>
      </c>
      <c r="H9" s="113" t="s">
        <v>7</v>
      </c>
      <c r="I9" s="9"/>
    </row>
    <row r="10" spans="2:10" s="4" customFormat="1" x14ac:dyDescent="0.25">
      <c r="B10" s="45" t="s">
        <v>2</v>
      </c>
      <c r="C10" s="43">
        <v>12</v>
      </c>
      <c r="D10" s="43">
        <v>9</v>
      </c>
      <c r="E10" s="42">
        <v>12</v>
      </c>
      <c r="F10" s="42">
        <v>12</v>
      </c>
      <c r="G10" s="42">
        <v>12</v>
      </c>
      <c r="H10" s="42">
        <v>6</v>
      </c>
      <c r="I10" s="9"/>
    </row>
    <row r="11" spans="2:10" ht="15.75" thickBot="1" x14ac:dyDescent="0.3">
      <c r="B11" s="47" t="s">
        <v>3</v>
      </c>
      <c r="C11" s="48">
        <v>15</v>
      </c>
      <c r="D11" s="48">
        <v>15</v>
      </c>
      <c r="E11" s="49">
        <v>20</v>
      </c>
      <c r="F11" s="49">
        <v>25</v>
      </c>
      <c r="G11" s="49">
        <v>25</v>
      </c>
      <c r="H11" s="49">
        <v>25</v>
      </c>
      <c r="I11" s="24"/>
    </row>
    <row r="12" spans="2:10" s="89" customFormat="1" hidden="1" x14ac:dyDescent="0.25">
      <c r="B12" s="86" t="s">
        <v>30</v>
      </c>
      <c r="C12" s="122">
        <v>2.2000000000000002</v>
      </c>
      <c r="D12" s="122">
        <v>0.8</v>
      </c>
      <c r="E12" s="87">
        <v>3</v>
      </c>
      <c r="F12" s="87">
        <v>1.5</v>
      </c>
      <c r="G12" s="87">
        <v>1.1000000000000001</v>
      </c>
      <c r="H12" s="87">
        <v>0.9</v>
      </c>
      <c r="I12" s="88"/>
    </row>
    <row r="13" spans="2:10" s="87" customFormat="1" hidden="1" x14ac:dyDescent="0.25">
      <c r="B13" s="90" t="s">
        <v>31</v>
      </c>
      <c r="C13" s="91">
        <f>C12*C11</f>
        <v>33</v>
      </c>
      <c r="D13" s="91">
        <f t="shared" ref="D13:H13" si="0">D12*D11</f>
        <v>12</v>
      </c>
      <c r="E13" s="91">
        <f t="shared" si="0"/>
        <v>60</v>
      </c>
      <c r="F13" s="91">
        <f t="shared" si="0"/>
        <v>37.5</v>
      </c>
      <c r="G13" s="91">
        <f t="shared" si="0"/>
        <v>27.500000000000004</v>
      </c>
      <c r="H13" s="91">
        <f t="shared" si="0"/>
        <v>22.5</v>
      </c>
      <c r="I13" s="92"/>
    </row>
    <row r="14" spans="2:10" x14ac:dyDescent="0.25">
      <c r="B14" s="10"/>
      <c r="I14" s="9"/>
    </row>
    <row r="15" spans="2:10" x14ac:dyDescent="0.25">
      <c r="B15" s="10" t="s">
        <v>9</v>
      </c>
      <c r="C15" s="123">
        <f>INT($C$7*C12)</f>
        <v>110</v>
      </c>
      <c r="D15" s="123">
        <f t="shared" ref="D15:H15" si="1">INT($C$7*D12)</f>
        <v>40</v>
      </c>
      <c r="E15" s="123">
        <f t="shared" si="1"/>
        <v>150</v>
      </c>
      <c r="F15" s="123">
        <f t="shared" si="1"/>
        <v>75</v>
      </c>
      <c r="G15" s="123">
        <f t="shared" si="1"/>
        <v>55</v>
      </c>
      <c r="H15" s="123">
        <f t="shared" si="1"/>
        <v>45</v>
      </c>
      <c r="I15" s="9"/>
    </row>
    <row r="16" spans="2:10" ht="15.75" thickBot="1" x14ac:dyDescent="0.3">
      <c r="B16" s="19"/>
      <c r="C16" s="20"/>
      <c r="D16" s="20"/>
      <c r="E16" s="20"/>
      <c r="F16" s="20"/>
      <c r="G16" s="20"/>
      <c r="H16" s="20"/>
      <c r="I16" s="21"/>
    </row>
    <row r="17" spans="2:9" ht="15.75" thickBot="1" x14ac:dyDescent="0.3"/>
    <row r="18" spans="2:9" ht="15.75" hidden="1" thickBot="1" x14ac:dyDescent="0.3">
      <c r="B18" t="s">
        <v>14</v>
      </c>
      <c r="C18">
        <f>C15/C10</f>
        <v>9.1666666666666661</v>
      </c>
      <c r="D18">
        <f t="shared" ref="D18:H18" si="2">D15/D10</f>
        <v>4.4444444444444446</v>
      </c>
      <c r="E18">
        <f t="shared" si="2"/>
        <v>12.5</v>
      </c>
      <c r="F18">
        <f t="shared" si="2"/>
        <v>6.25</v>
      </c>
      <c r="G18">
        <f t="shared" si="2"/>
        <v>4.583333333333333</v>
      </c>
      <c r="H18">
        <f t="shared" si="2"/>
        <v>7.5</v>
      </c>
    </row>
    <row r="19" spans="2:9" ht="16.5" thickBot="1" x14ac:dyDescent="0.3">
      <c r="B19" s="27" t="s">
        <v>18</v>
      </c>
      <c r="C19" s="26">
        <f>ROUNDUP(C18,0)</f>
        <v>10</v>
      </c>
      <c r="D19" s="26">
        <f t="shared" ref="D19:H19" si="3">ROUNDUP(D18,0)</f>
        <v>5</v>
      </c>
      <c r="E19" s="26">
        <f t="shared" si="3"/>
        <v>13</v>
      </c>
      <c r="F19" s="26">
        <f t="shared" si="3"/>
        <v>7</v>
      </c>
      <c r="G19" s="26">
        <f t="shared" si="3"/>
        <v>5</v>
      </c>
      <c r="H19" s="26">
        <f t="shared" si="3"/>
        <v>8</v>
      </c>
    </row>
    <row r="20" spans="2:9" x14ac:dyDescent="0.25">
      <c r="B20" t="s">
        <v>15</v>
      </c>
      <c r="C20" s="7">
        <f>C19*(C10*C11)</f>
        <v>1800</v>
      </c>
      <c r="D20" s="7">
        <f t="shared" ref="D20:H20" si="4">D19*(D10*D11)</f>
        <v>675</v>
      </c>
      <c r="E20" s="7">
        <f t="shared" si="4"/>
        <v>3120</v>
      </c>
      <c r="F20" s="7">
        <f t="shared" si="4"/>
        <v>2100</v>
      </c>
      <c r="G20" s="7">
        <f t="shared" si="4"/>
        <v>1500</v>
      </c>
      <c r="H20" s="7">
        <f t="shared" si="4"/>
        <v>1200</v>
      </c>
      <c r="I20" s="7">
        <f>SUM(C20:H20)</f>
        <v>10395</v>
      </c>
    </row>
    <row r="22" spans="2:9" x14ac:dyDescent="0.25">
      <c r="B22" t="s">
        <v>16</v>
      </c>
      <c r="C22">
        <f>(C19*C10)-C15</f>
        <v>10</v>
      </c>
      <c r="D22">
        <f t="shared" ref="D22:H22" si="5">(D19*D10)-D15</f>
        <v>5</v>
      </c>
      <c r="E22">
        <f t="shared" si="5"/>
        <v>6</v>
      </c>
      <c r="F22">
        <f t="shared" si="5"/>
        <v>9</v>
      </c>
      <c r="G22">
        <f t="shared" si="5"/>
        <v>5</v>
      </c>
      <c r="H22">
        <f t="shared" si="5"/>
        <v>3</v>
      </c>
    </row>
    <row r="24" spans="2:9" x14ac:dyDescent="0.25">
      <c r="B24" s="39" t="s">
        <v>389</v>
      </c>
    </row>
    <row r="26" spans="2:9" ht="18.75" x14ac:dyDescent="0.3">
      <c r="B26" s="127" t="s">
        <v>46</v>
      </c>
      <c r="C26" s="127"/>
      <c r="D26" s="127"/>
      <c r="E26" s="127"/>
      <c r="F26" s="127"/>
      <c r="G26" s="127"/>
      <c r="H26" s="127"/>
      <c r="I26" s="127"/>
    </row>
  </sheetData>
  <sheetProtection sheet="1" objects="1" scenarios="1"/>
  <protectedRanges>
    <protectedRange sqref="C7" name="Range1"/>
  </protectedRanges>
  <mergeCells count="5">
    <mergeCell ref="B1:J1"/>
    <mergeCell ref="B26:I26"/>
    <mergeCell ref="B3:I3"/>
    <mergeCell ref="B4:I4"/>
    <mergeCell ref="B5:I5"/>
  </mergeCells>
  <hyperlinks>
    <hyperlink ref="B26:I26" r:id="rId1" display="CLICK HERE FOR A STOREFRONT RESERVATION GUIDE" xr:uid="{45C460FE-C3C8-4E59-BF94-E498989E97F7}"/>
  </hyperlinks>
  <pageMargins left="0.7" right="0.7" top="0.75" bottom="0.75" header="0.3" footer="0.3"/>
  <pageSetup paperSize="1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810D-C2BF-47C1-802C-CC496F8C16FA}">
  <dimension ref="B1:I31"/>
  <sheetViews>
    <sheetView workbookViewId="0">
      <selection activeCell="I37" sqref="I37"/>
    </sheetView>
  </sheetViews>
  <sheetFormatPr defaultRowHeight="15" x14ac:dyDescent="0.25"/>
  <cols>
    <col min="2" max="2" width="20.140625" bestFit="1" customWidth="1"/>
    <col min="3" max="4" width="12.85546875" bestFit="1" customWidth="1"/>
    <col min="5" max="6" width="14.42578125" bestFit="1" customWidth="1"/>
    <col min="7" max="7" width="12.5703125" bestFit="1" customWidth="1"/>
    <col min="8" max="8" width="14.42578125" bestFit="1" customWidth="1"/>
    <col min="9" max="9" width="14.85546875" bestFit="1" customWidth="1"/>
  </cols>
  <sheetData>
    <row r="1" spans="2:9" ht="15.75" thickBot="1" x14ac:dyDescent="0.3"/>
    <row r="2" spans="2:9" x14ac:dyDescent="0.25">
      <c r="B2" s="44" t="s">
        <v>4</v>
      </c>
      <c r="C2" s="113" t="s">
        <v>6</v>
      </c>
      <c r="D2" s="113" t="s">
        <v>5</v>
      </c>
      <c r="E2" s="113" t="s">
        <v>0</v>
      </c>
      <c r="F2" s="113" t="s">
        <v>1</v>
      </c>
      <c r="G2" s="113" t="s">
        <v>219</v>
      </c>
      <c r="H2" s="114" t="s">
        <v>7</v>
      </c>
    </row>
    <row r="3" spans="2:9" x14ac:dyDescent="0.25">
      <c r="B3" s="45" t="s">
        <v>2</v>
      </c>
      <c r="C3" s="43">
        <v>12</v>
      </c>
      <c r="D3" s="43">
        <v>9</v>
      </c>
      <c r="E3" s="42">
        <v>12</v>
      </c>
      <c r="F3" s="42">
        <v>12</v>
      </c>
      <c r="G3" s="42">
        <v>12</v>
      </c>
      <c r="H3" s="46">
        <v>6</v>
      </c>
    </row>
    <row r="4" spans="2:9" ht="15.75" thickBot="1" x14ac:dyDescent="0.3">
      <c r="B4" s="47" t="s">
        <v>3</v>
      </c>
      <c r="C4" s="48">
        <v>15</v>
      </c>
      <c r="D4" s="48">
        <v>15</v>
      </c>
      <c r="E4" s="49">
        <v>20</v>
      </c>
      <c r="F4" s="49">
        <v>25</v>
      </c>
      <c r="G4" s="49">
        <v>25</v>
      </c>
      <c r="H4" s="50">
        <v>25</v>
      </c>
    </row>
    <row r="5" spans="2:9" ht="15.75" thickBot="1" x14ac:dyDescent="0.3">
      <c r="B5" s="2"/>
      <c r="C5" s="3"/>
      <c r="D5" s="3"/>
      <c r="E5" s="13"/>
      <c r="F5" s="13"/>
      <c r="G5" s="13"/>
      <c r="H5" s="13"/>
    </row>
    <row r="6" spans="2:9" s="8" customFormat="1" x14ac:dyDescent="0.25">
      <c r="B6" s="31" t="s">
        <v>23</v>
      </c>
      <c r="C6" s="32">
        <f>'Show &amp; Deliver Kit'!C22</f>
        <v>60</v>
      </c>
      <c r="D6" s="32">
        <f>'Show &amp; Deliver Kit'!D22</f>
        <v>20</v>
      </c>
      <c r="E6" s="32">
        <f>'Show &amp; Deliver Kit'!E22</f>
        <v>60</v>
      </c>
      <c r="F6" s="32">
        <f>'Show &amp; Deliver Kit'!F22</f>
        <v>60</v>
      </c>
      <c r="G6" s="32">
        <f>'Show &amp; Deliver Kit'!G22</f>
        <v>40</v>
      </c>
      <c r="H6" s="33">
        <f>'Show &amp; Deliver Kit'!H22</f>
        <v>30</v>
      </c>
    </row>
    <row r="7" spans="2:9" x14ac:dyDescent="0.25">
      <c r="B7" s="10"/>
      <c r="H7" s="9"/>
    </row>
    <row r="8" spans="2:9" s="8" customFormat="1" x14ac:dyDescent="0.25">
      <c r="B8" s="34" t="s">
        <v>24</v>
      </c>
      <c r="C8" s="8">
        <f>'Storefront '!C15</f>
        <v>110</v>
      </c>
      <c r="D8" s="8">
        <f>'Storefront '!D15</f>
        <v>40</v>
      </c>
      <c r="E8" s="8">
        <f>'Storefront '!E15</f>
        <v>150</v>
      </c>
      <c r="F8" s="8">
        <f>'Storefront '!F15</f>
        <v>75</v>
      </c>
      <c r="G8" s="8">
        <f>'Storefront '!G15</f>
        <v>55</v>
      </c>
      <c r="H8" s="35">
        <f>'Storefront '!H15</f>
        <v>45</v>
      </c>
    </row>
    <row r="9" spans="2:9" x14ac:dyDescent="0.25">
      <c r="B9" s="10"/>
      <c r="H9" s="9"/>
    </row>
    <row r="10" spans="2:9" s="8" customFormat="1" ht="15.75" thickBot="1" x14ac:dyDescent="0.3">
      <c r="B10" s="36" t="s">
        <v>25</v>
      </c>
      <c r="C10" s="37">
        <f>C6+C8</f>
        <v>170</v>
      </c>
      <c r="D10" s="37">
        <f t="shared" ref="D10:H10" si="0">D6+D8</f>
        <v>60</v>
      </c>
      <c r="E10" s="37">
        <f t="shared" si="0"/>
        <v>210</v>
      </c>
      <c r="F10" s="37">
        <f t="shared" si="0"/>
        <v>135</v>
      </c>
      <c r="G10" s="37">
        <f t="shared" si="0"/>
        <v>95</v>
      </c>
      <c r="H10" s="38">
        <f t="shared" si="0"/>
        <v>75</v>
      </c>
    </row>
    <row r="12" spans="2:9" x14ac:dyDescent="0.25">
      <c r="B12" t="s">
        <v>14</v>
      </c>
      <c r="C12">
        <f>C10/C3</f>
        <v>14.166666666666666</v>
      </c>
      <c r="D12">
        <f t="shared" ref="D12:H12" si="1">D10/D3</f>
        <v>6.666666666666667</v>
      </c>
      <c r="E12">
        <f t="shared" si="1"/>
        <v>17.5</v>
      </c>
      <c r="F12">
        <f t="shared" si="1"/>
        <v>11.25</v>
      </c>
      <c r="G12">
        <f t="shared" si="1"/>
        <v>7.916666666666667</v>
      </c>
      <c r="H12">
        <f t="shared" si="1"/>
        <v>12.5</v>
      </c>
    </row>
    <row r="13" spans="2:9" ht="15.75" thickBot="1" x14ac:dyDescent="0.3">
      <c r="C13" s="112" t="s">
        <v>6</v>
      </c>
      <c r="D13" s="112" t="s">
        <v>5</v>
      </c>
      <c r="E13" s="112" t="s">
        <v>0</v>
      </c>
      <c r="F13" s="112" t="s">
        <v>1</v>
      </c>
      <c r="G13" s="112" t="s">
        <v>219</v>
      </c>
      <c r="H13" s="112" t="s">
        <v>7</v>
      </c>
    </row>
    <row r="14" spans="2:9" s="8" customFormat="1" ht="15.75" thickBot="1" x14ac:dyDescent="0.3">
      <c r="B14" s="28" t="s">
        <v>18</v>
      </c>
      <c r="C14" s="29">
        <f>ROUNDUP(C12,0)</f>
        <v>15</v>
      </c>
      <c r="D14" s="29">
        <f t="shared" ref="D14:H14" si="2">ROUNDUP(D12,0)</f>
        <v>7</v>
      </c>
      <c r="E14" s="29">
        <f t="shared" si="2"/>
        <v>18</v>
      </c>
      <c r="F14" s="29">
        <f>ROUNDUP(F12,0)</f>
        <v>12</v>
      </c>
      <c r="G14" s="29">
        <f t="shared" si="2"/>
        <v>8</v>
      </c>
      <c r="H14" s="30">
        <f t="shared" si="2"/>
        <v>13</v>
      </c>
      <c r="I14" s="8">
        <f>SUM(C14:H14)</f>
        <v>73</v>
      </c>
    </row>
    <row r="15" spans="2:9" x14ac:dyDescent="0.25">
      <c r="B15" t="s">
        <v>15</v>
      </c>
      <c r="C15" s="7">
        <f t="shared" ref="C15:H15" si="3">C14*(C3*C4)</f>
        <v>2700</v>
      </c>
      <c r="D15" s="7">
        <f t="shared" si="3"/>
        <v>945</v>
      </c>
      <c r="E15" s="7">
        <f t="shared" si="3"/>
        <v>4320</v>
      </c>
      <c r="F15" s="7">
        <f t="shared" si="3"/>
        <v>3600</v>
      </c>
      <c r="G15" s="7">
        <f t="shared" si="3"/>
        <v>2400</v>
      </c>
      <c r="H15" s="7">
        <f t="shared" si="3"/>
        <v>1950</v>
      </c>
      <c r="I15" s="6">
        <f>SUM(C15:H15)</f>
        <v>15915</v>
      </c>
    </row>
    <row r="17" spans="2:8" x14ac:dyDescent="0.25">
      <c r="B17" t="s">
        <v>16</v>
      </c>
      <c r="C17">
        <f t="shared" ref="C17:H17" si="4">(C14*C3)-C10</f>
        <v>10</v>
      </c>
      <c r="D17">
        <f t="shared" si="4"/>
        <v>3</v>
      </c>
      <c r="E17">
        <f t="shared" si="4"/>
        <v>6</v>
      </c>
      <c r="F17">
        <f t="shared" si="4"/>
        <v>9</v>
      </c>
      <c r="G17">
        <f t="shared" si="4"/>
        <v>1</v>
      </c>
      <c r="H17">
        <f t="shared" si="4"/>
        <v>3</v>
      </c>
    </row>
    <row r="19" spans="2:8" x14ac:dyDescent="0.25">
      <c r="B19" s="39" t="s">
        <v>389</v>
      </c>
    </row>
    <row r="20" spans="2:8" ht="15.75" thickBot="1" x14ac:dyDescent="0.3"/>
    <row r="21" spans="2:8" ht="16.5" thickBot="1" x14ac:dyDescent="0.3">
      <c r="B21" s="99" t="s">
        <v>217</v>
      </c>
      <c r="D21" s="166" t="s">
        <v>212</v>
      </c>
      <c r="E21" s="166"/>
      <c r="F21" s="166"/>
      <c r="G21" s="166"/>
    </row>
    <row r="22" spans="2:8" ht="16.5" thickBot="1" x14ac:dyDescent="0.3">
      <c r="B22" s="100">
        <f>I14</f>
        <v>73</v>
      </c>
      <c r="D22" s="166" t="s">
        <v>200</v>
      </c>
      <c r="E22" s="166"/>
      <c r="F22" s="166" t="s">
        <v>207</v>
      </c>
      <c r="G22" s="166"/>
    </row>
    <row r="23" spans="2:8" ht="15.75" thickBot="1" x14ac:dyDescent="0.3">
      <c r="D23" s="166" t="s">
        <v>201</v>
      </c>
      <c r="E23" s="166"/>
      <c r="F23" s="166" t="s">
        <v>208</v>
      </c>
      <c r="G23" s="166"/>
    </row>
    <row r="24" spans="2:8" ht="16.5" thickBot="1" x14ac:dyDescent="0.3">
      <c r="B24" s="99" t="s">
        <v>218</v>
      </c>
      <c r="D24" s="166" t="s">
        <v>202</v>
      </c>
      <c r="E24" s="166"/>
      <c r="F24" s="166" t="s">
        <v>208</v>
      </c>
      <c r="G24" s="166"/>
    </row>
    <row r="25" spans="2:8" ht="16.5" thickBot="1" x14ac:dyDescent="0.3">
      <c r="B25" s="101">
        <f>I15</f>
        <v>15915</v>
      </c>
      <c r="D25" s="166" t="s">
        <v>203</v>
      </c>
      <c r="E25" s="166"/>
      <c r="F25" s="166" t="s">
        <v>209</v>
      </c>
      <c r="G25" s="166"/>
    </row>
    <row r="26" spans="2:8" ht="15.75" thickBot="1" x14ac:dyDescent="0.3">
      <c r="D26" s="166" t="s">
        <v>204</v>
      </c>
      <c r="E26" s="166"/>
      <c r="F26" s="166" t="s">
        <v>210</v>
      </c>
      <c r="G26" s="166"/>
    </row>
    <row r="27" spans="2:8" ht="15.75" thickBot="1" x14ac:dyDescent="0.3">
      <c r="D27" s="166" t="s">
        <v>205</v>
      </c>
      <c r="E27" s="166"/>
      <c r="F27" s="166" t="s">
        <v>210</v>
      </c>
      <c r="G27" s="166"/>
    </row>
    <row r="28" spans="2:8" ht="15.75" thickBot="1" x14ac:dyDescent="0.3">
      <c r="D28" s="166" t="s">
        <v>206</v>
      </c>
      <c r="E28" s="166"/>
      <c r="F28" s="166" t="s">
        <v>211</v>
      </c>
      <c r="G28" s="166"/>
    </row>
    <row r="30" spans="2:8" x14ac:dyDescent="0.25">
      <c r="D30" s="167" t="s">
        <v>213</v>
      </c>
      <c r="E30" s="167"/>
      <c r="F30" s="167"/>
      <c r="G30" s="167"/>
    </row>
    <row r="31" spans="2:8" x14ac:dyDescent="0.25">
      <c r="D31" s="167"/>
      <c r="E31" s="167"/>
      <c r="F31" s="167"/>
      <c r="G31" s="167"/>
    </row>
  </sheetData>
  <sheetProtection sheet="1" objects="1" scenarios="1" selectLockedCells="1" selectUnlockedCells="1"/>
  <mergeCells count="16">
    <mergeCell ref="D21:G21"/>
    <mergeCell ref="D22:E22"/>
    <mergeCell ref="F22:G22"/>
    <mergeCell ref="D23:E23"/>
    <mergeCell ref="D24:E24"/>
    <mergeCell ref="F23:G23"/>
    <mergeCell ref="F24:G24"/>
    <mergeCell ref="F25:G25"/>
    <mergeCell ref="F26:G26"/>
    <mergeCell ref="F27:G27"/>
    <mergeCell ref="D30:G31"/>
    <mergeCell ref="D25:E25"/>
    <mergeCell ref="D26:E26"/>
    <mergeCell ref="D27:E27"/>
    <mergeCell ref="D28:E28"/>
    <mergeCell ref="F28:G28"/>
  </mergeCells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2DFA-6C38-46E2-AD3D-FFE3B097399D}">
  <dimension ref="A1:Y140"/>
  <sheetViews>
    <sheetView topLeftCell="A90" workbookViewId="0">
      <selection activeCell="Y96" sqref="Y96"/>
    </sheetView>
  </sheetViews>
  <sheetFormatPr defaultRowHeight="15" x14ac:dyDescent="0.25"/>
  <cols>
    <col min="1" max="1" width="61.7109375" customWidth="1"/>
    <col min="2" max="2" width="14.28515625" bestFit="1" customWidth="1"/>
    <col min="3" max="4" width="13.42578125" customWidth="1"/>
    <col min="5" max="18" width="16.5703125" customWidth="1"/>
    <col min="19" max="21" width="15.7109375" style="4" customWidth="1"/>
    <col min="22" max="22" width="15.7109375" customWidth="1"/>
    <col min="23" max="23" width="26.28515625" style="4" customWidth="1"/>
    <col min="24" max="24" width="19.5703125" customWidth="1"/>
    <col min="25" max="25" width="24.85546875" style="95" bestFit="1" customWidth="1"/>
  </cols>
  <sheetData>
    <row r="1" spans="1:25" x14ac:dyDescent="0.25">
      <c r="A1" t="s">
        <v>48</v>
      </c>
      <c r="B1" t="s">
        <v>49</v>
      </c>
      <c r="C1" t="s">
        <v>50</v>
      </c>
      <c r="D1" t="s">
        <v>33</v>
      </c>
      <c r="E1" s="93" t="s">
        <v>51</v>
      </c>
      <c r="F1" s="93" t="s">
        <v>52</v>
      </c>
      <c r="G1" s="93" t="s">
        <v>53</v>
      </c>
      <c r="H1" s="93" t="s">
        <v>221</v>
      </c>
      <c r="I1" s="93" t="s">
        <v>222</v>
      </c>
      <c r="J1" s="93" t="s">
        <v>364</v>
      </c>
      <c r="K1" s="93" t="s">
        <v>380</v>
      </c>
      <c r="L1" s="93" t="s">
        <v>365</v>
      </c>
      <c r="M1" s="93" t="s">
        <v>371</v>
      </c>
      <c r="N1" s="94" t="s">
        <v>370</v>
      </c>
      <c r="O1" s="94" t="s">
        <v>375</v>
      </c>
      <c r="P1" s="94" t="s">
        <v>376</v>
      </c>
      <c r="Q1" s="93" t="s">
        <v>54</v>
      </c>
      <c r="R1" s="93" t="s">
        <v>40</v>
      </c>
      <c r="S1" t="s">
        <v>55</v>
      </c>
      <c r="T1" t="s">
        <v>227</v>
      </c>
      <c r="U1" t="s">
        <v>363</v>
      </c>
      <c r="V1" s="4" t="s">
        <v>377</v>
      </c>
      <c r="W1" t="s">
        <v>56</v>
      </c>
      <c r="X1" s="4" t="s">
        <v>57</v>
      </c>
      <c r="Y1" s="95" t="s">
        <v>378</v>
      </c>
    </row>
    <row r="2" spans="1:25" x14ac:dyDescent="0.25">
      <c r="A2" t="s">
        <v>229</v>
      </c>
      <c r="B2" t="s">
        <v>58</v>
      </c>
      <c r="C2" t="s">
        <v>59</v>
      </c>
      <c r="D2" t="s">
        <v>60</v>
      </c>
      <c r="E2" s="53">
        <v>5</v>
      </c>
      <c r="F2">
        <v>3</v>
      </c>
      <c r="G2" s="53"/>
      <c r="H2" s="53">
        <v>3</v>
      </c>
      <c r="I2" s="53"/>
      <c r="J2" s="53">
        <v>0</v>
      </c>
      <c r="K2" s="53"/>
      <c r="L2" s="53">
        <v>0</v>
      </c>
      <c r="M2" s="53">
        <f>Table13[[#This Row],[12/31/2023]]+1</f>
        <v>1</v>
      </c>
      <c r="N2" s="53">
        <f>Table13[[#This Row],[Recruited 23]]+1</f>
        <v>1</v>
      </c>
      <c r="O2" s="53">
        <f>IF(Table13[[#This Row],[Unit Type]]="Pack",10,12)</f>
        <v>12</v>
      </c>
      <c r="P2" s="53">
        <f>MAX(Table13[[#This Row],[Pack Recruit Goal]:[Min Recruit Goal]])</f>
        <v>12</v>
      </c>
      <c r="Q2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2" s="53">
        <f>Table13[[#This Row],[End Goal]]-Table13[[#This Row],[6/30/2023]]</f>
        <v>12</v>
      </c>
      <c r="T2" s="4">
        <v>0</v>
      </c>
      <c r="V2" s="4">
        <f>Table13[[#This Row],[2023 Sales]]*2</f>
        <v>0</v>
      </c>
      <c r="W2" s="53">
        <f>IF(Table13[[#This Row],[Double 2023]]&lt;4000,4000,0)</f>
        <v>4000</v>
      </c>
      <c r="X2" s="4">
        <f>MAX(Table13[[#This Row],[Double 2023]:[Min 4K]])</f>
        <v>4000</v>
      </c>
      <c r="Y2" s="96">
        <f>IF(Table13[[#This Row],[Max of goals]]&gt;15000,15000,Table13[[#This Row],[Max of goals]])</f>
        <v>4000</v>
      </c>
    </row>
    <row r="3" spans="1:25" x14ac:dyDescent="0.25">
      <c r="A3" t="s">
        <v>230</v>
      </c>
      <c r="B3" t="s">
        <v>58</v>
      </c>
      <c r="C3" t="s">
        <v>59</v>
      </c>
      <c r="D3" t="s">
        <v>61</v>
      </c>
      <c r="E3" s="53">
        <v>23</v>
      </c>
      <c r="F3">
        <v>19</v>
      </c>
      <c r="G3" s="53"/>
      <c r="H3" s="53">
        <v>20</v>
      </c>
      <c r="I3" s="53">
        <v>17</v>
      </c>
      <c r="J3" s="53">
        <v>25</v>
      </c>
      <c r="K3" s="53">
        <v>30</v>
      </c>
      <c r="L3" s="53">
        <v>0</v>
      </c>
      <c r="M3" s="53">
        <f>Table13[[#This Row],[12/31/2023]]+1</f>
        <v>26</v>
      </c>
      <c r="N3" s="53">
        <f>Table13[[#This Row],[Recruited 23]]+1</f>
        <v>1</v>
      </c>
      <c r="O3" s="53">
        <f>IF(Table13[[#This Row],[Unit Type]]="Pack",10,12)</f>
        <v>12</v>
      </c>
      <c r="P3" s="53">
        <f>MAX(Table13[[#This Row],[Pack Recruit Goal]:[Min Recruit Goal]])</f>
        <v>12</v>
      </c>
      <c r="Q3" s="53">
        <f>IF(Table13[[#This Row],[Unit Type]]="Pack",Table13[[#This Row],[Pack Recruit Growth Goal]],IF(Table13[[#This Row],[Troop Growth Goal]]&gt;11,Table13[[#This Row],[Troop Growth Goal]],Table13[[#This Row],[Min Recruit Goal]]))</f>
        <v>26</v>
      </c>
      <c r="R3" s="53">
        <f>Table13[[#This Row],[End Goal]]-Table13[[#This Row],[6/30/2023]]</f>
        <v>9</v>
      </c>
      <c r="T3" s="4">
        <v>0</v>
      </c>
      <c r="V3" s="4">
        <f>Table13[[#This Row],[2023 Sales]]*2</f>
        <v>0</v>
      </c>
      <c r="W3" s="53">
        <f>IF(Table13[[#This Row],[Double 2023]]&lt;4000,4000,0)</f>
        <v>4000</v>
      </c>
      <c r="X3" s="4">
        <f>MAX(Table13[[#This Row],[Double 2023]:[Min 4K]])</f>
        <v>4000</v>
      </c>
      <c r="Y3" s="96">
        <f>IF(Table13[[#This Row],[Max of goals]]&gt;15000,15000,Table13[[#This Row],[Max of goals]])</f>
        <v>4000</v>
      </c>
    </row>
    <row r="4" spans="1:25" x14ac:dyDescent="0.25">
      <c r="A4" t="s">
        <v>231</v>
      </c>
      <c r="B4" t="s">
        <v>62</v>
      </c>
      <c r="C4" t="s">
        <v>59</v>
      </c>
      <c r="D4" t="s">
        <v>63</v>
      </c>
      <c r="E4" s="53">
        <v>12</v>
      </c>
      <c r="F4">
        <v>10</v>
      </c>
      <c r="G4" s="53"/>
      <c r="H4" s="53">
        <v>12</v>
      </c>
      <c r="I4" s="53">
        <v>8</v>
      </c>
      <c r="J4" s="53">
        <v>10</v>
      </c>
      <c r="K4" s="53">
        <v>10</v>
      </c>
      <c r="L4" s="53">
        <v>2</v>
      </c>
      <c r="M4" s="53">
        <f>Table13[[#This Row],[12/31/2023]]+1</f>
        <v>11</v>
      </c>
      <c r="N4" s="53">
        <f>Table13[[#This Row],[Recruited 23]]+1</f>
        <v>3</v>
      </c>
      <c r="O4" s="53">
        <f>IF(Table13[[#This Row],[Unit Type]]="Pack",10,12)</f>
        <v>12</v>
      </c>
      <c r="P4" s="53">
        <f>MAX(Table13[[#This Row],[Pack Recruit Goal]:[Min Recruit Goal]])</f>
        <v>12</v>
      </c>
      <c r="Q4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4" s="53">
        <f>Table13[[#This Row],[End Goal]]-Table13[[#This Row],[6/30/2023]]</f>
        <v>4</v>
      </c>
      <c r="T4" s="4">
        <v>0</v>
      </c>
      <c r="V4" s="4">
        <f>Table13[[#This Row],[2023 Sales]]*2</f>
        <v>0</v>
      </c>
      <c r="W4" s="53">
        <f>IF(Table13[[#This Row],[Double 2023]]&lt;4000,4000,0)</f>
        <v>4000</v>
      </c>
      <c r="X4" s="4">
        <f>MAX(Table13[[#This Row],[Double 2023]:[Min 4K]])</f>
        <v>4000</v>
      </c>
      <c r="Y4" s="96">
        <f>IF(Table13[[#This Row],[Max of goals]]&gt;15000,15000,Table13[[#This Row],[Max of goals]])</f>
        <v>4000</v>
      </c>
    </row>
    <row r="5" spans="1:25" x14ac:dyDescent="0.25">
      <c r="A5" t="s">
        <v>232</v>
      </c>
      <c r="B5" t="s">
        <v>62</v>
      </c>
      <c r="C5" t="s">
        <v>59</v>
      </c>
      <c r="D5" t="s">
        <v>64</v>
      </c>
      <c r="E5" s="53">
        <v>14</v>
      </c>
      <c r="F5">
        <v>9</v>
      </c>
      <c r="G5" s="53"/>
      <c r="H5" s="53">
        <v>12</v>
      </c>
      <c r="I5" s="53">
        <v>6</v>
      </c>
      <c r="J5" s="53">
        <v>7</v>
      </c>
      <c r="K5" s="53">
        <v>6</v>
      </c>
      <c r="L5" s="53">
        <v>0</v>
      </c>
      <c r="M5" s="53">
        <f>Table13[[#This Row],[12/31/2023]]+1</f>
        <v>8</v>
      </c>
      <c r="N5" s="53">
        <f>Table13[[#This Row],[Recruited 23]]+1</f>
        <v>1</v>
      </c>
      <c r="O5" s="53">
        <f>IF(Table13[[#This Row],[Unit Type]]="Pack",10,12)</f>
        <v>12</v>
      </c>
      <c r="P5" s="53">
        <f>MAX(Table13[[#This Row],[Pack Recruit Goal]:[Min Recruit Goal]])</f>
        <v>12</v>
      </c>
      <c r="Q5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5" s="53">
        <f>Table13[[#This Row],[End Goal]]-Table13[[#This Row],[6/30/2023]]</f>
        <v>6</v>
      </c>
      <c r="T5" s="4">
        <v>0</v>
      </c>
      <c r="V5" s="4">
        <f>Table13[[#This Row],[2023 Sales]]*2</f>
        <v>0</v>
      </c>
      <c r="W5" s="53">
        <f>IF(Table13[[#This Row],[Double 2023]]&lt;4000,4000,0)</f>
        <v>4000</v>
      </c>
      <c r="X5" s="4">
        <f>MAX(Table13[[#This Row],[Double 2023]:[Min 4K]])</f>
        <v>4000</v>
      </c>
      <c r="Y5" s="96">
        <f>IF(Table13[[#This Row],[Max of goals]]&gt;15000,15000,Table13[[#This Row],[Max of goals]])</f>
        <v>4000</v>
      </c>
    </row>
    <row r="6" spans="1:25" x14ac:dyDescent="0.25">
      <c r="A6" t="s">
        <v>233</v>
      </c>
      <c r="B6" t="s">
        <v>65</v>
      </c>
      <c r="C6" t="s">
        <v>59</v>
      </c>
      <c r="D6" t="s">
        <v>66</v>
      </c>
      <c r="E6" s="53">
        <v>8</v>
      </c>
      <c r="F6">
        <v>5</v>
      </c>
      <c r="G6" s="53"/>
      <c r="H6" s="53">
        <v>7</v>
      </c>
      <c r="I6" s="53">
        <v>10</v>
      </c>
      <c r="J6" s="53">
        <v>10</v>
      </c>
      <c r="K6" s="53">
        <v>10</v>
      </c>
      <c r="L6" s="53">
        <v>1</v>
      </c>
      <c r="M6" s="53">
        <f>Table13[[#This Row],[12/31/2023]]+1</f>
        <v>11</v>
      </c>
      <c r="N6" s="53">
        <f>Table13[[#This Row],[Recruited 23]]+1</f>
        <v>2</v>
      </c>
      <c r="O6" s="53">
        <f>IF(Table13[[#This Row],[Unit Type]]="Pack",10,12)</f>
        <v>12</v>
      </c>
      <c r="P6" s="53">
        <f>MAX(Table13[[#This Row],[Pack Recruit Goal]:[Min Recruit Goal]])</f>
        <v>12</v>
      </c>
      <c r="Q6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6" s="53">
        <f>Table13[[#This Row],[End Goal]]-Table13[[#This Row],[6/30/2023]]</f>
        <v>2</v>
      </c>
      <c r="T6" s="4">
        <v>0</v>
      </c>
      <c r="V6" s="4">
        <f>Table13[[#This Row],[2023 Sales]]*2</f>
        <v>0</v>
      </c>
      <c r="W6" s="53">
        <f>IF(Table13[[#This Row],[Double 2023]]&lt;4000,4000,0)</f>
        <v>4000</v>
      </c>
      <c r="X6" s="4">
        <f>MAX(Table13[[#This Row],[Double 2023]:[Min 4K]])</f>
        <v>4000</v>
      </c>
      <c r="Y6" s="96">
        <f>IF(Table13[[#This Row],[Max of goals]]&gt;15000,15000,Table13[[#This Row],[Max of goals]])</f>
        <v>4000</v>
      </c>
    </row>
    <row r="7" spans="1:25" x14ac:dyDescent="0.25">
      <c r="A7" t="s">
        <v>234</v>
      </c>
      <c r="B7" t="s">
        <v>65</v>
      </c>
      <c r="C7" t="s">
        <v>59</v>
      </c>
      <c r="D7" t="s">
        <v>67</v>
      </c>
      <c r="E7" s="53">
        <v>5</v>
      </c>
      <c r="F7">
        <v>4</v>
      </c>
      <c r="G7" s="53"/>
      <c r="H7" s="53">
        <v>4</v>
      </c>
      <c r="I7" s="53">
        <v>8</v>
      </c>
      <c r="J7" s="53">
        <v>8</v>
      </c>
      <c r="K7" s="53">
        <v>5</v>
      </c>
      <c r="L7" s="53"/>
      <c r="M7" s="53">
        <f>Table13[[#This Row],[12/31/2023]]+1</f>
        <v>9</v>
      </c>
      <c r="N7" s="53">
        <f>Table13[[#This Row],[Recruited 23]]+1</f>
        <v>1</v>
      </c>
      <c r="O7" s="53">
        <f>IF(Table13[[#This Row],[Unit Type]]="Pack",10,12)</f>
        <v>12</v>
      </c>
      <c r="P7" s="53">
        <f>MAX(Table13[[#This Row],[Pack Recruit Goal]:[Min Recruit Goal]])</f>
        <v>12</v>
      </c>
      <c r="Q7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7" s="53">
        <f>Table13[[#This Row],[End Goal]]-Table13[[#This Row],[6/30/2023]]</f>
        <v>4</v>
      </c>
      <c r="T7" s="4">
        <v>0</v>
      </c>
      <c r="V7" s="4">
        <f>Table13[[#This Row],[2023 Sales]]*2</f>
        <v>0</v>
      </c>
      <c r="W7" s="53">
        <f>IF(Table13[[#This Row],[Double 2023]]&lt;4000,4000,0)</f>
        <v>4000</v>
      </c>
      <c r="X7" s="4">
        <f>MAX(Table13[[#This Row],[Double 2023]:[Min 4K]])</f>
        <v>4000</v>
      </c>
      <c r="Y7" s="96">
        <f>IF(Table13[[#This Row],[Max of goals]]&gt;15000,15000,Table13[[#This Row],[Max of goals]])</f>
        <v>4000</v>
      </c>
    </row>
    <row r="8" spans="1:25" x14ac:dyDescent="0.25">
      <c r="A8" t="s">
        <v>235</v>
      </c>
      <c r="B8" t="s">
        <v>68</v>
      </c>
      <c r="C8" t="s">
        <v>59</v>
      </c>
      <c r="D8" t="s">
        <v>69</v>
      </c>
      <c r="E8" s="53">
        <v>3</v>
      </c>
      <c r="F8">
        <v>2</v>
      </c>
      <c r="G8" s="53"/>
      <c r="H8" s="53">
        <v>2</v>
      </c>
      <c r="I8" s="53">
        <v>2</v>
      </c>
      <c r="J8" s="53">
        <v>3</v>
      </c>
      <c r="K8" s="53">
        <v>2</v>
      </c>
      <c r="L8" s="53">
        <v>1</v>
      </c>
      <c r="M8" s="53">
        <f>Table13[[#This Row],[12/31/2023]]+1</f>
        <v>4</v>
      </c>
      <c r="N8" s="53">
        <f>Table13[[#This Row],[Recruited 23]]+1</f>
        <v>2</v>
      </c>
      <c r="O8" s="53">
        <f>IF(Table13[[#This Row],[Unit Type]]="Pack",10,12)</f>
        <v>12</v>
      </c>
      <c r="P8" s="53">
        <f>MAX(Table13[[#This Row],[Pack Recruit Goal]:[Min Recruit Goal]])</f>
        <v>12</v>
      </c>
      <c r="Q8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" s="53">
        <f>Table13[[#This Row],[End Goal]]-Table13[[#This Row],[6/30/2023]]</f>
        <v>10</v>
      </c>
      <c r="T8" s="4">
        <v>469</v>
      </c>
      <c r="V8" s="4">
        <f>Table13[[#This Row],[2023 Sales]]*2</f>
        <v>0</v>
      </c>
      <c r="W8" s="53">
        <f>IF(Table13[[#This Row],[Double 2023]]&lt;4000,4000,0)</f>
        <v>4000</v>
      </c>
      <c r="X8" s="4">
        <f>MAX(Table13[[#This Row],[Double 2023]:[Min 4K]])</f>
        <v>4000</v>
      </c>
      <c r="Y8" s="96">
        <f>IF(Table13[[#This Row],[Max of goals]]&gt;15000,15000,Table13[[#This Row],[Max of goals]])</f>
        <v>4000</v>
      </c>
    </row>
    <row r="9" spans="1:25" x14ac:dyDescent="0.25">
      <c r="A9" t="s">
        <v>236</v>
      </c>
      <c r="B9" t="s">
        <v>65</v>
      </c>
      <c r="C9" t="s">
        <v>59</v>
      </c>
      <c r="D9" t="s">
        <v>70</v>
      </c>
      <c r="E9" s="53">
        <v>7</v>
      </c>
      <c r="F9">
        <v>4</v>
      </c>
      <c r="G9" s="53"/>
      <c r="H9" s="53">
        <v>7</v>
      </c>
      <c r="I9" s="53">
        <v>6</v>
      </c>
      <c r="J9" s="53">
        <v>6</v>
      </c>
      <c r="K9" s="53">
        <v>0</v>
      </c>
      <c r="L9" s="53">
        <v>0</v>
      </c>
      <c r="M9" s="53">
        <f>Table13[[#This Row],[12/31/2023]]+1</f>
        <v>7</v>
      </c>
      <c r="N9" s="53">
        <f>Table13[[#This Row],[Recruited 23]]+1</f>
        <v>1</v>
      </c>
      <c r="O9" s="53">
        <f>IF(Table13[[#This Row],[Unit Type]]="Pack",10,12)</f>
        <v>12</v>
      </c>
      <c r="P9" s="53">
        <f>MAX(Table13[[#This Row],[Pack Recruit Goal]:[Min Recruit Goal]])</f>
        <v>12</v>
      </c>
      <c r="Q9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9" s="53">
        <f>Table13[[#This Row],[End Goal]]-Table13[[#This Row],[6/30/2023]]</f>
        <v>6</v>
      </c>
      <c r="T9" s="4">
        <v>0</v>
      </c>
      <c r="V9" s="4">
        <f>Table13[[#This Row],[2023 Sales]]*2</f>
        <v>0</v>
      </c>
      <c r="W9" s="53">
        <f>IF(Table13[[#This Row],[Double 2023]]&lt;4000,4000,0)</f>
        <v>4000</v>
      </c>
      <c r="X9" s="4">
        <f>MAX(Table13[[#This Row],[Double 2023]:[Min 4K]])</f>
        <v>4000</v>
      </c>
      <c r="Y9" s="96">
        <f>IF(Table13[[#This Row],[Max of goals]]&gt;15000,15000,Table13[[#This Row],[Max of goals]])</f>
        <v>4000</v>
      </c>
    </row>
    <row r="10" spans="1:25" x14ac:dyDescent="0.25">
      <c r="A10" t="s">
        <v>237</v>
      </c>
      <c r="B10" t="s">
        <v>68</v>
      </c>
      <c r="C10" t="s">
        <v>71</v>
      </c>
      <c r="D10" t="s">
        <v>72</v>
      </c>
      <c r="E10" s="53">
        <v>15</v>
      </c>
      <c r="F10">
        <v>6</v>
      </c>
      <c r="G10" s="53"/>
      <c r="H10" s="53">
        <v>5</v>
      </c>
      <c r="I10" s="53"/>
      <c r="J10" s="53">
        <v>0</v>
      </c>
      <c r="K10" s="53">
        <v>0</v>
      </c>
      <c r="L10" s="53">
        <v>0</v>
      </c>
      <c r="M10" s="53">
        <f>Table13[[#This Row],[12/31/2023]]+1</f>
        <v>1</v>
      </c>
      <c r="N10" s="53">
        <f>Table13[[#This Row],[Recruited 23]]+1</f>
        <v>1</v>
      </c>
      <c r="O10" s="53">
        <f>IF(Table13[[#This Row],[Unit Type]]="Pack",10,12)</f>
        <v>10</v>
      </c>
      <c r="P10" s="53">
        <f>MAX(Table13[[#This Row],[Pack Recruit Goal]:[Min Recruit Goal]])</f>
        <v>10</v>
      </c>
      <c r="Q10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0" s="53">
        <f>Table13[[#This Row],[End Goal]]-Table13[[#This Row],[6/30/2023]]</f>
        <v>10</v>
      </c>
      <c r="S10" s="4">
        <v>8044.85</v>
      </c>
      <c r="T10" s="4">
        <v>0</v>
      </c>
      <c r="V10" s="4">
        <f>Table13[[#This Row],[2023 Sales]]*2</f>
        <v>0</v>
      </c>
      <c r="W10" s="53">
        <f>IF(Table13[[#This Row],[Double 2023]]&lt;4000,4000,0)</f>
        <v>4000</v>
      </c>
      <c r="X10" s="4">
        <f>MAX(Table13[[#This Row],[Double 2023]:[Min 4K]])</f>
        <v>4000</v>
      </c>
      <c r="Y10" s="96">
        <f>IF(Table13[[#This Row],[Max of goals]]&gt;15000,15000,Table13[[#This Row],[Max of goals]])</f>
        <v>4000</v>
      </c>
    </row>
    <row r="11" spans="1:25" x14ac:dyDescent="0.25">
      <c r="A11" t="s">
        <v>238</v>
      </c>
      <c r="B11" t="s">
        <v>65</v>
      </c>
      <c r="C11" t="s">
        <v>71</v>
      </c>
      <c r="D11" t="s">
        <v>73</v>
      </c>
      <c r="E11" s="53">
        <v>31</v>
      </c>
      <c r="F11">
        <v>21</v>
      </c>
      <c r="G11" s="53"/>
      <c r="H11" s="53">
        <v>30</v>
      </c>
      <c r="I11" s="53">
        <v>25</v>
      </c>
      <c r="J11" s="53">
        <v>40</v>
      </c>
      <c r="K11" s="53">
        <v>32</v>
      </c>
      <c r="L11" s="53">
        <v>15</v>
      </c>
      <c r="M11" s="53">
        <f>Table13[[#This Row],[12/31/2023]]+1</f>
        <v>41</v>
      </c>
      <c r="N11" s="53">
        <f>Table13[[#This Row],[Recruited 23]]+1</f>
        <v>16</v>
      </c>
      <c r="O11" s="53">
        <f>IF(Table13[[#This Row],[Unit Type]]="Pack",10,12)</f>
        <v>10</v>
      </c>
      <c r="P11" s="53">
        <f>MAX(Table13[[#This Row],[Pack Recruit Goal]:[Min Recruit Goal]])</f>
        <v>16</v>
      </c>
      <c r="Q11" s="53">
        <f>IF(Table13[[#This Row],[Unit Type]]="Pack",Table13[[#This Row],[Pack Recruit Growth Goal]],IF(Table13[[#This Row],[Troop Growth Goal]]&gt;11,Table13[[#This Row],[Troop Growth Goal]],Table13[[#This Row],[Min Recruit Goal]]))</f>
        <v>16</v>
      </c>
      <c r="R11" s="53">
        <f>Table13[[#This Row],[End Goal]]-Table13[[#This Row],[6/30/2023]]</f>
        <v>-9</v>
      </c>
      <c r="T11" s="4">
        <v>4378</v>
      </c>
      <c r="U11" s="4">
        <v>9277</v>
      </c>
      <c r="V11" s="4">
        <f>Table13[[#This Row],[2023 Sales]]*2</f>
        <v>18554</v>
      </c>
      <c r="W11" s="53">
        <f>IF(Table13[[#This Row],[Double 2023]]&lt;4000,4000,0)</f>
        <v>0</v>
      </c>
      <c r="X11" s="4">
        <f>MAX(Table13[[#This Row],[Double 2023]:[Min 4K]])</f>
        <v>18554</v>
      </c>
      <c r="Y11" s="96">
        <f>IF(Table13[[#This Row],[Max of goals]]&gt;15000,15000,Table13[[#This Row],[Max of goals]])</f>
        <v>15000</v>
      </c>
    </row>
    <row r="12" spans="1:25" x14ac:dyDescent="0.25">
      <c r="A12" t="s">
        <v>228</v>
      </c>
      <c r="B12" t="s">
        <v>68</v>
      </c>
      <c r="C12" t="s">
        <v>71</v>
      </c>
      <c r="D12" t="s">
        <v>223</v>
      </c>
      <c r="E12" s="53"/>
      <c r="F12" s="53"/>
      <c r="G12" s="53"/>
      <c r="H12" s="53">
        <v>8</v>
      </c>
      <c r="I12" s="53">
        <v>8</v>
      </c>
      <c r="J12" s="53">
        <v>16</v>
      </c>
      <c r="K12" s="53">
        <v>13</v>
      </c>
      <c r="L12" s="53">
        <v>4</v>
      </c>
      <c r="M12" s="53">
        <f>Table13[[#This Row],[12/31/2023]]+1</f>
        <v>17</v>
      </c>
      <c r="N12" s="53">
        <f>Table13[[#This Row],[Recruited 23]]+1</f>
        <v>5</v>
      </c>
      <c r="O12" s="53">
        <f>IF(Table13[[#This Row],[Unit Type]]="Pack",10,12)</f>
        <v>10</v>
      </c>
      <c r="P12" s="53">
        <f>MAX(Table13[[#This Row],[Pack Recruit Goal]:[Min Recruit Goal]])</f>
        <v>10</v>
      </c>
      <c r="Q12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2" s="53">
        <f>Table13[[#This Row],[End Goal]]-Table13[[#This Row],[6/30/2023]]</f>
        <v>2</v>
      </c>
      <c r="T12" s="4">
        <v>0</v>
      </c>
      <c r="V12" s="4">
        <f>Table13[[#This Row],[2023 Sales]]*2</f>
        <v>0</v>
      </c>
      <c r="W12" s="53">
        <f>IF(Table13[[#This Row],[Double 2023]]&lt;4000,4000,0)</f>
        <v>4000</v>
      </c>
      <c r="X12" s="4">
        <f>MAX(Table13[[#This Row],[Double 2023]:[Min 4K]])</f>
        <v>4000</v>
      </c>
      <c r="Y12" s="96">
        <f>IF(Table13[[#This Row],[Max of goals]]&gt;15000,15000,Table13[[#This Row],[Max of goals]])</f>
        <v>4000</v>
      </c>
    </row>
    <row r="13" spans="1:25" x14ac:dyDescent="0.25">
      <c r="A13" t="s">
        <v>239</v>
      </c>
      <c r="B13" t="s">
        <v>58</v>
      </c>
      <c r="C13" t="s">
        <v>71</v>
      </c>
      <c r="D13" t="s">
        <v>74</v>
      </c>
      <c r="E13" s="53">
        <v>17</v>
      </c>
      <c r="F13">
        <v>17</v>
      </c>
      <c r="G13" s="53"/>
      <c r="H13" s="53">
        <v>27</v>
      </c>
      <c r="I13" s="53">
        <v>28</v>
      </c>
      <c r="J13" s="53">
        <v>32</v>
      </c>
      <c r="K13" s="53">
        <v>20</v>
      </c>
      <c r="L13" s="53">
        <v>6</v>
      </c>
      <c r="M13" s="53">
        <f>Table13[[#This Row],[12/31/2023]]+1</f>
        <v>33</v>
      </c>
      <c r="N13" s="53">
        <f>Table13[[#This Row],[Recruited 23]]+1</f>
        <v>7</v>
      </c>
      <c r="O13" s="53">
        <f>IF(Table13[[#This Row],[Unit Type]]="Pack",10,12)</f>
        <v>10</v>
      </c>
      <c r="P13" s="53">
        <f>MAX(Table13[[#This Row],[Pack Recruit Goal]:[Min Recruit Goal]])</f>
        <v>10</v>
      </c>
      <c r="Q13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3" s="53">
        <f>Table13[[#This Row],[End Goal]]-Table13[[#This Row],[6/30/2023]]</f>
        <v>-18</v>
      </c>
      <c r="S13" s="4">
        <v>10635</v>
      </c>
      <c r="T13" s="4">
        <v>19699</v>
      </c>
      <c r="U13" s="4">
        <v>18460</v>
      </c>
      <c r="V13" s="4">
        <f>Table13[[#This Row],[2023 Sales]]*2</f>
        <v>36920</v>
      </c>
      <c r="W13" s="53">
        <f>IF(Table13[[#This Row],[Double 2023]]&lt;4000,4000,0)</f>
        <v>0</v>
      </c>
      <c r="X13" s="4">
        <f>MAX(Table13[[#This Row],[Double 2023]:[Min 4K]])</f>
        <v>36920</v>
      </c>
      <c r="Y13" s="96">
        <f>IF(Table13[[#This Row],[Max of goals]]&gt;15000,15000,Table13[[#This Row],[Max of goals]])</f>
        <v>15000</v>
      </c>
    </row>
    <row r="14" spans="1:25" x14ac:dyDescent="0.25">
      <c r="A14" t="s">
        <v>240</v>
      </c>
      <c r="B14" t="s">
        <v>68</v>
      </c>
      <c r="C14" t="s">
        <v>71</v>
      </c>
      <c r="D14" t="s">
        <v>75</v>
      </c>
      <c r="E14" s="53">
        <v>11</v>
      </c>
      <c r="F14">
        <v>15</v>
      </c>
      <c r="G14" s="53"/>
      <c r="H14" s="53">
        <v>17</v>
      </c>
      <c r="I14" s="53">
        <v>15</v>
      </c>
      <c r="J14" s="53">
        <v>20</v>
      </c>
      <c r="K14" s="53">
        <v>8</v>
      </c>
      <c r="L14" s="53">
        <v>3</v>
      </c>
      <c r="M14" s="53">
        <f>Table13[[#This Row],[12/31/2023]]+1</f>
        <v>21</v>
      </c>
      <c r="N14" s="53">
        <f>Table13[[#This Row],[Recruited 23]]+1</f>
        <v>4</v>
      </c>
      <c r="O14" s="53">
        <f>IF(Table13[[#This Row],[Unit Type]]="Pack",10,12)</f>
        <v>10</v>
      </c>
      <c r="P14" s="53">
        <f>MAX(Table13[[#This Row],[Pack Recruit Goal]:[Min Recruit Goal]])</f>
        <v>10</v>
      </c>
      <c r="Q14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4" s="53">
        <f>Table13[[#This Row],[End Goal]]-Table13[[#This Row],[6/30/2023]]</f>
        <v>-5</v>
      </c>
      <c r="S14" s="4">
        <v>3639.83</v>
      </c>
      <c r="T14" s="4">
        <v>6761</v>
      </c>
      <c r="U14" s="4">
        <v>3880</v>
      </c>
      <c r="V14" s="4">
        <f>Table13[[#This Row],[2023 Sales]]*2</f>
        <v>7760</v>
      </c>
      <c r="W14" s="53">
        <f>IF(Table13[[#This Row],[Double 2023]]&lt;4000,4000,0)</f>
        <v>0</v>
      </c>
      <c r="X14" s="4">
        <f>MAX(Table13[[#This Row],[Double 2023]:[Min 4K]])</f>
        <v>7760</v>
      </c>
      <c r="Y14" s="96">
        <f>IF(Table13[[#This Row],[Max of goals]]&gt;15000,15000,Table13[[#This Row],[Max of goals]])</f>
        <v>7760</v>
      </c>
    </row>
    <row r="15" spans="1:25" x14ac:dyDescent="0.25">
      <c r="A15" t="s">
        <v>241</v>
      </c>
      <c r="B15" t="s">
        <v>68</v>
      </c>
      <c r="C15" t="s">
        <v>71</v>
      </c>
      <c r="D15" t="s">
        <v>76</v>
      </c>
      <c r="E15" s="53">
        <v>14</v>
      </c>
      <c r="F15">
        <v>8</v>
      </c>
      <c r="G15" s="53"/>
      <c r="H15" s="53">
        <v>4</v>
      </c>
      <c r="I15" s="53"/>
      <c r="J15" s="53">
        <v>0</v>
      </c>
      <c r="K15" s="53">
        <v>0</v>
      </c>
      <c r="L15" s="53">
        <v>0</v>
      </c>
      <c r="M15" s="53">
        <f>Table13[[#This Row],[12/31/2023]]+1</f>
        <v>1</v>
      </c>
      <c r="N15" s="53">
        <f>Table13[[#This Row],[Recruited 23]]+1</f>
        <v>1</v>
      </c>
      <c r="O15" s="53">
        <f>IF(Table13[[#This Row],[Unit Type]]="Pack",10,12)</f>
        <v>10</v>
      </c>
      <c r="P15" s="53">
        <f>MAX(Table13[[#This Row],[Pack Recruit Goal]:[Min Recruit Goal]])</f>
        <v>10</v>
      </c>
      <c r="Q15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5" s="53">
        <f>Table13[[#This Row],[End Goal]]-Table13[[#This Row],[6/30/2023]]</f>
        <v>10</v>
      </c>
      <c r="S15" s="4">
        <v>7379.58</v>
      </c>
      <c r="T15" s="4">
        <v>0</v>
      </c>
      <c r="V15" s="4">
        <f>Table13[[#This Row],[2023 Sales]]*2</f>
        <v>0</v>
      </c>
      <c r="W15" s="53">
        <f>IF(Table13[[#This Row],[Double 2023]]&lt;4000,4000,0)</f>
        <v>4000</v>
      </c>
      <c r="X15" s="4">
        <f>MAX(Table13[[#This Row],[Double 2023]:[Min 4K]])</f>
        <v>4000</v>
      </c>
      <c r="Y15" s="96">
        <f>IF(Table13[[#This Row],[Max of goals]]&gt;15000,15000,Table13[[#This Row],[Max of goals]])</f>
        <v>4000</v>
      </c>
    </row>
    <row r="16" spans="1:25" x14ac:dyDescent="0.25">
      <c r="A16" t="s">
        <v>242</v>
      </c>
      <c r="B16" t="s">
        <v>68</v>
      </c>
      <c r="C16" t="s">
        <v>71</v>
      </c>
      <c r="D16" t="s">
        <v>77</v>
      </c>
      <c r="E16" s="53">
        <v>11</v>
      </c>
      <c r="F16">
        <v>9</v>
      </c>
      <c r="G16" s="53"/>
      <c r="H16" s="53">
        <v>16</v>
      </c>
      <c r="I16" s="53">
        <v>22</v>
      </c>
      <c r="J16" s="53">
        <v>36</v>
      </c>
      <c r="K16" s="53">
        <v>30</v>
      </c>
      <c r="L16" s="53">
        <v>13</v>
      </c>
      <c r="M16" s="53">
        <f>Table13[[#This Row],[12/31/2023]]+1</f>
        <v>37</v>
      </c>
      <c r="N16" s="53">
        <f>Table13[[#This Row],[Recruited 23]]+1</f>
        <v>14</v>
      </c>
      <c r="O16" s="53">
        <f>IF(Table13[[#This Row],[Unit Type]]="Pack",10,12)</f>
        <v>10</v>
      </c>
      <c r="P16" s="53">
        <f>MAX(Table13[[#This Row],[Pack Recruit Goal]:[Min Recruit Goal]])</f>
        <v>14</v>
      </c>
      <c r="Q16" s="53">
        <f>IF(Table13[[#This Row],[Unit Type]]="Pack",Table13[[#This Row],[Pack Recruit Growth Goal]],IF(Table13[[#This Row],[Troop Growth Goal]]&gt;11,Table13[[#This Row],[Troop Growth Goal]],Table13[[#This Row],[Min Recruit Goal]]))</f>
        <v>14</v>
      </c>
      <c r="R16" s="53">
        <f>Table13[[#This Row],[End Goal]]-Table13[[#This Row],[6/30/2023]]</f>
        <v>-8</v>
      </c>
      <c r="T16" s="4">
        <v>0</v>
      </c>
      <c r="U16" s="4">
        <v>5030</v>
      </c>
      <c r="V16" s="4">
        <f>Table13[[#This Row],[2023 Sales]]*2</f>
        <v>10060</v>
      </c>
      <c r="W16" s="53">
        <f>IF(Table13[[#This Row],[Double 2023]]&lt;4000,4000,0)</f>
        <v>0</v>
      </c>
      <c r="X16" s="4">
        <f>MAX(Table13[[#This Row],[Double 2023]:[Min 4K]])</f>
        <v>10060</v>
      </c>
      <c r="Y16" s="96">
        <f>IF(Table13[[#This Row],[Max of goals]]&gt;15000,15000,Table13[[#This Row],[Max of goals]])</f>
        <v>10060</v>
      </c>
    </row>
    <row r="17" spans="1:25" x14ac:dyDescent="0.25">
      <c r="A17" t="s">
        <v>383</v>
      </c>
      <c r="B17" t="s">
        <v>68</v>
      </c>
      <c r="C17" t="s">
        <v>71</v>
      </c>
      <c r="D17" t="s">
        <v>382</v>
      </c>
      <c r="E17" s="53"/>
      <c r="F17" s="53"/>
      <c r="G17" s="53"/>
      <c r="H17" s="53"/>
      <c r="I17" s="53"/>
      <c r="J17" s="53"/>
      <c r="K17" s="53">
        <v>7</v>
      </c>
      <c r="L17" s="53">
        <v>0</v>
      </c>
      <c r="M17" s="53">
        <f>Table13[[#This Row],[12/31/2023]]+1</f>
        <v>1</v>
      </c>
      <c r="N17" s="53">
        <f>Table13[[#This Row],[Recruited 23]]+1</f>
        <v>1</v>
      </c>
      <c r="O17" s="53">
        <f>IF(Table13[[#This Row],[Unit Type]]="Pack",10,12)</f>
        <v>10</v>
      </c>
      <c r="P17" s="53">
        <f>MAX(Table13[[#This Row],[Pack Recruit Goal]:[Min Recruit Goal]])</f>
        <v>10</v>
      </c>
      <c r="Q17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7" s="53">
        <f>Table13[[#This Row],[End Goal]]-Table13[[#This Row],[6/30/2023]]</f>
        <v>10</v>
      </c>
      <c r="V17" s="4">
        <f>Table13[[#This Row],[2023 Sales]]*2</f>
        <v>0</v>
      </c>
      <c r="W17" s="53">
        <f>IF(Table13[[#This Row],[Double 2023]]&lt;4000,4000,0)</f>
        <v>4000</v>
      </c>
      <c r="X17" s="4">
        <f>MAX(Table13[[#This Row],[Double 2023]:[Min 4K]])</f>
        <v>4000</v>
      </c>
      <c r="Y17" s="96">
        <f>IF(Table13[[#This Row],[Max of goals]]&gt;15000,15000,Table13[[#This Row],[Max of goals]])</f>
        <v>4000</v>
      </c>
    </row>
    <row r="18" spans="1:25" x14ac:dyDescent="0.25">
      <c r="A18" t="s">
        <v>243</v>
      </c>
      <c r="B18" t="s">
        <v>58</v>
      </c>
      <c r="C18" t="s">
        <v>71</v>
      </c>
      <c r="D18" t="s">
        <v>78</v>
      </c>
      <c r="E18" s="53">
        <v>42</v>
      </c>
      <c r="F18">
        <v>31</v>
      </c>
      <c r="G18" s="53"/>
      <c r="H18" s="53">
        <v>43</v>
      </c>
      <c r="I18" s="53">
        <v>25</v>
      </c>
      <c r="J18" s="53">
        <v>35</v>
      </c>
      <c r="K18" s="53">
        <v>23</v>
      </c>
      <c r="L18" s="53">
        <v>8</v>
      </c>
      <c r="M18" s="53">
        <f>Table13[[#This Row],[12/31/2023]]+1</f>
        <v>36</v>
      </c>
      <c r="N18" s="53">
        <f>Table13[[#This Row],[Recruited 23]]+1</f>
        <v>9</v>
      </c>
      <c r="O18" s="53">
        <f>IF(Table13[[#This Row],[Unit Type]]="Pack",10,12)</f>
        <v>10</v>
      </c>
      <c r="P18" s="53">
        <f>MAX(Table13[[#This Row],[Pack Recruit Goal]:[Min Recruit Goal]])</f>
        <v>10</v>
      </c>
      <c r="Q18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8" s="53">
        <f>Table13[[#This Row],[End Goal]]-Table13[[#This Row],[6/30/2023]]</f>
        <v>-15</v>
      </c>
      <c r="S18" s="4">
        <v>30111.14</v>
      </c>
      <c r="T18" s="4">
        <v>50330</v>
      </c>
      <c r="U18" s="4">
        <v>66981</v>
      </c>
      <c r="V18" s="4">
        <f>Table13[[#This Row],[2023 Sales]]*2</f>
        <v>133962</v>
      </c>
      <c r="W18" s="53">
        <f>IF(Table13[[#This Row],[Double 2023]]&lt;4000,4000,0)</f>
        <v>0</v>
      </c>
      <c r="X18" s="4">
        <f>MAX(Table13[[#This Row],[Double 2023]:[Min 4K]])</f>
        <v>133962</v>
      </c>
      <c r="Y18" s="96">
        <f>IF(Table13[[#This Row],[Max of goals]]&gt;15000,15000,Table13[[#This Row],[Max of goals]])</f>
        <v>15000</v>
      </c>
    </row>
    <row r="19" spans="1:25" x14ac:dyDescent="0.25">
      <c r="A19" t="s">
        <v>244</v>
      </c>
      <c r="B19" t="s">
        <v>68</v>
      </c>
      <c r="C19" t="s">
        <v>71</v>
      </c>
      <c r="D19" t="s">
        <v>79</v>
      </c>
      <c r="E19" s="53">
        <v>15</v>
      </c>
      <c r="F19">
        <v>10</v>
      </c>
      <c r="G19" s="53"/>
      <c r="H19" s="53">
        <v>15</v>
      </c>
      <c r="I19" s="53">
        <v>10</v>
      </c>
      <c r="J19" s="53">
        <v>10</v>
      </c>
      <c r="K19" s="53">
        <v>6</v>
      </c>
      <c r="L19" s="53">
        <v>5</v>
      </c>
      <c r="M19" s="53">
        <f>Table13[[#This Row],[12/31/2023]]+1</f>
        <v>11</v>
      </c>
      <c r="N19" s="53">
        <f>Table13[[#This Row],[Recruited 23]]+1</f>
        <v>6</v>
      </c>
      <c r="O19" s="53">
        <f>IF(Table13[[#This Row],[Unit Type]]="Pack",10,12)</f>
        <v>10</v>
      </c>
      <c r="P19" s="53">
        <f>MAX(Table13[[#This Row],[Pack Recruit Goal]:[Min Recruit Goal]])</f>
        <v>10</v>
      </c>
      <c r="Q19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19" s="53">
        <f>Table13[[#This Row],[End Goal]]-Table13[[#This Row],[6/30/2023]]</f>
        <v>0</v>
      </c>
      <c r="S19" s="4">
        <v>4164.6000000000004</v>
      </c>
      <c r="T19" s="4">
        <v>4790</v>
      </c>
      <c r="U19" s="4">
        <v>4896</v>
      </c>
      <c r="V19" s="4">
        <f>Table13[[#This Row],[2023 Sales]]*2</f>
        <v>9792</v>
      </c>
      <c r="W19" s="53">
        <f>IF(Table13[[#This Row],[Double 2023]]&lt;4000,4000,0)</f>
        <v>0</v>
      </c>
      <c r="X19" s="4">
        <f>MAX(Table13[[#This Row],[Double 2023]:[Min 4K]])</f>
        <v>9792</v>
      </c>
      <c r="Y19" s="96">
        <f>IF(Table13[[#This Row],[Max of goals]]&gt;15000,15000,Table13[[#This Row],[Max of goals]])</f>
        <v>9792</v>
      </c>
    </row>
    <row r="20" spans="1:25" x14ac:dyDescent="0.25">
      <c r="A20" t="s">
        <v>245</v>
      </c>
      <c r="B20" t="s">
        <v>58</v>
      </c>
      <c r="C20" t="s">
        <v>71</v>
      </c>
      <c r="D20" t="s">
        <v>80</v>
      </c>
      <c r="E20" s="53">
        <v>14</v>
      </c>
      <c r="F20">
        <v>11</v>
      </c>
      <c r="G20" s="53"/>
      <c r="H20" s="53">
        <v>17</v>
      </c>
      <c r="I20" s="53">
        <v>13</v>
      </c>
      <c r="J20" s="53">
        <v>21</v>
      </c>
      <c r="K20" s="53">
        <v>17</v>
      </c>
      <c r="L20" s="53">
        <v>5</v>
      </c>
      <c r="M20" s="53">
        <f>Table13[[#This Row],[12/31/2023]]+1</f>
        <v>22</v>
      </c>
      <c r="N20" s="53">
        <f>Table13[[#This Row],[Recruited 23]]+1</f>
        <v>6</v>
      </c>
      <c r="O20" s="53">
        <f>IF(Table13[[#This Row],[Unit Type]]="Pack",10,12)</f>
        <v>10</v>
      </c>
      <c r="P20" s="53">
        <f>MAX(Table13[[#This Row],[Pack Recruit Goal]:[Min Recruit Goal]])</f>
        <v>10</v>
      </c>
      <c r="Q20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20" s="53">
        <f>Table13[[#This Row],[End Goal]]-Table13[[#This Row],[6/30/2023]]</f>
        <v>-3</v>
      </c>
      <c r="S20" s="4">
        <v>4681.8900000000003</v>
      </c>
      <c r="T20" s="4">
        <v>7421.08</v>
      </c>
      <c r="U20" s="4">
        <v>8077</v>
      </c>
      <c r="V20" s="4">
        <f>Table13[[#This Row],[2023 Sales]]*2</f>
        <v>16154</v>
      </c>
      <c r="W20" s="53">
        <f>IF(Table13[[#This Row],[Double 2023]]&lt;4000,4000,0)</f>
        <v>0</v>
      </c>
      <c r="X20" s="4">
        <f>MAX(Table13[[#This Row],[Double 2023]:[Min 4K]])</f>
        <v>16154</v>
      </c>
      <c r="Y20" s="96">
        <f>IF(Table13[[#This Row],[Max of goals]]&gt;15000,15000,Table13[[#This Row],[Max of goals]])</f>
        <v>15000</v>
      </c>
    </row>
    <row r="21" spans="1:25" x14ac:dyDescent="0.25">
      <c r="A21" t="s">
        <v>246</v>
      </c>
      <c r="B21" t="s">
        <v>62</v>
      </c>
      <c r="C21" t="s">
        <v>71</v>
      </c>
      <c r="D21" t="s">
        <v>81</v>
      </c>
      <c r="E21" s="53">
        <v>27</v>
      </c>
      <c r="F21">
        <v>18</v>
      </c>
      <c r="G21" s="53"/>
      <c r="H21" s="53">
        <v>24</v>
      </c>
      <c r="I21" s="53">
        <v>18</v>
      </c>
      <c r="J21" s="53">
        <v>30</v>
      </c>
      <c r="K21" s="53">
        <v>24</v>
      </c>
      <c r="L21" s="53">
        <v>1</v>
      </c>
      <c r="M21" s="53">
        <f>Table13[[#This Row],[12/31/2023]]+1</f>
        <v>31</v>
      </c>
      <c r="N21" s="53">
        <f>Table13[[#This Row],[Recruited 23]]+1</f>
        <v>2</v>
      </c>
      <c r="O21" s="53">
        <f>IF(Table13[[#This Row],[Unit Type]]="Pack",10,12)</f>
        <v>10</v>
      </c>
      <c r="P21" s="53">
        <f>MAX(Table13[[#This Row],[Pack Recruit Goal]:[Min Recruit Goal]])</f>
        <v>10</v>
      </c>
      <c r="Q21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21" s="53">
        <f>Table13[[#This Row],[End Goal]]-Table13[[#This Row],[6/30/2023]]</f>
        <v>-8</v>
      </c>
      <c r="T21" s="4">
        <v>0</v>
      </c>
      <c r="V21" s="4">
        <f>Table13[[#This Row],[2023 Sales]]*2</f>
        <v>0</v>
      </c>
      <c r="W21" s="53">
        <f>IF(Table13[[#This Row],[Double 2023]]&lt;4000,4000,0)</f>
        <v>4000</v>
      </c>
      <c r="X21" s="4">
        <f>MAX(Table13[[#This Row],[Double 2023]:[Min 4K]])</f>
        <v>4000</v>
      </c>
      <c r="Y21" s="96">
        <f>IF(Table13[[#This Row],[Max of goals]]&gt;15000,15000,Table13[[#This Row],[Max of goals]])</f>
        <v>4000</v>
      </c>
    </row>
    <row r="22" spans="1:25" x14ac:dyDescent="0.25">
      <c r="A22" t="s">
        <v>247</v>
      </c>
      <c r="B22" t="s">
        <v>62</v>
      </c>
      <c r="C22" t="s">
        <v>71</v>
      </c>
      <c r="D22" t="s">
        <v>82</v>
      </c>
      <c r="E22" s="53">
        <v>29</v>
      </c>
      <c r="F22">
        <v>19</v>
      </c>
      <c r="G22" s="53"/>
      <c r="H22" s="53">
        <v>23</v>
      </c>
      <c r="I22" s="53">
        <v>17</v>
      </c>
      <c r="J22" s="53">
        <v>18</v>
      </c>
      <c r="K22" s="53">
        <v>12</v>
      </c>
      <c r="L22" s="53">
        <v>1</v>
      </c>
      <c r="M22" s="53">
        <f>Table13[[#This Row],[12/31/2023]]+1</f>
        <v>19</v>
      </c>
      <c r="N22" s="53">
        <f>Table13[[#This Row],[Recruited 23]]+1</f>
        <v>2</v>
      </c>
      <c r="O22" s="53">
        <f>IF(Table13[[#This Row],[Unit Type]]="Pack",10,12)</f>
        <v>10</v>
      </c>
      <c r="P22" s="53">
        <f>MAX(Table13[[#This Row],[Pack Recruit Goal]:[Min Recruit Goal]])</f>
        <v>10</v>
      </c>
      <c r="Q22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22" s="53">
        <f>Table13[[#This Row],[End Goal]]-Table13[[#This Row],[6/30/2023]]</f>
        <v>-7</v>
      </c>
      <c r="S22" s="4">
        <v>10511.85</v>
      </c>
      <c r="T22" s="4">
        <v>5261</v>
      </c>
      <c r="U22" s="4">
        <v>3537</v>
      </c>
      <c r="V22" s="4">
        <f>Table13[[#This Row],[2023 Sales]]*2</f>
        <v>7074</v>
      </c>
      <c r="W22" s="53">
        <f>IF(Table13[[#This Row],[Double 2023]]&lt;4000,4000,0)</f>
        <v>0</v>
      </c>
      <c r="X22" s="4">
        <f>MAX(Table13[[#This Row],[Double 2023]:[Min 4K]])</f>
        <v>7074</v>
      </c>
      <c r="Y22" s="96">
        <f>IF(Table13[[#This Row],[Max of goals]]&gt;15000,15000,Table13[[#This Row],[Max of goals]])</f>
        <v>7074</v>
      </c>
    </row>
    <row r="23" spans="1:25" x14ac:dyDescent="0.25">
      <c r="A23" t="s">
        <v>248</v>
      </c>
      <c r="B23" t="s">
        <v>62</v>
      </c>
      <c r="C23" t="s">
        <v>71</v>
      </c>
      <c r="D23" t="s">
        <v>83</v>
      </c>
      <c r="E23" s="53">
        <v>19</v>
      </c>
      <c r="F23">
        <v>15</v>
      </c>
      <c r="G23" s="53"/>
      <c r="H23" s="53">
        <v>17</v>
      </c>
      <c r="I23" s="53">
        <v>14</v>
      </c>
      <c r="J23" s="53">
        <v>12</v>
      </c>
      <c r="K23" s="53">
        <v>7</v>
      </c>
      <c r="L23" s="53">
        <v>1</v>
      </c>
      <c r="M23" s="53">
        <f>Table13[[#This Row],[12/31/2023]]+1</f>
        <v>13</v>
      </c>
      <c r="N23" s="53">
        <f>Table13[[#This Row],[Recruited 23]]+1</f>
        <v>2</v>
      </c>
      <c r="O23" s="53">
        <f>IF(Table13[[#This Row],[Unit Type]]="Pack",10,12)</f>
        <v>10</v>
      </c>
      <c r="P23" s="53">
        <f>MAX(Table13[[#This Row],[Pack Recruit Goal]:[Min Recruit Goal]])</f>
        <v>10</v>
      </c>
      <c r="Q23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23" s="53">
        <f>Table13[[#This Row],[End Goal]]-Table13[[#This Row],[6/30/2023]]</f>
        <v>-4</v>
      </c>
      <c r="S23" s="4">
        <v>79.989999999999995</v>
      </c>
      <c r="T23" s="4">
        <v>0</v>
      </c>
      <c r="V23" s="4">
        <f>Table13[[#This Row],[2023 Sales]]*2</f>
        <v>0</v>
      </c>
      <c r="W23" s="53">
        <f>IF(Table13[[#This Row],[Double 2023]]&lt;4000,4000,0)</f>
        <v>4000</v>
      </c>
      <c r="X23" s="4">
        <f>MAX(Table13[[#This Row],[Double 2023]:[Min 4K]])</f>
        <v>4000</v>
      </c>
      <c r="Y23" s="96">
        <f>IF(Table13[[#This Row],[Max of goals]]&gt;15000,15000,Table13[[#This Row],[Max of goals]])</f>
        <v>4000</v>
      </c>
    </row>
    <row r="24" spans="1:25" x14ac:dyDescent="0.25">
      <c r="A24" t="s">
        <v>249</v>
      </c>
      <c r="B24" t="s">
        <v>62</v>
      </c>
      <c r="C24" t="s">
        <v>71</v>
      </c>
      <c r="D24" t="s">
        <v>84</v>
      </c>
      <c r="E24" s="53">
        <v>15</v>
      </c>
      <c r="F24">
        <v>8</v>
      </c>
      <c r="G24" s="53"/>
      <c r="H24" s="53">
        <v>15</v>
      </c>
      <c r="I24" s="53">
        <v>13</v>
      </c>
      <c r="J24" s="53">
        <v>10</v>
      </c>
      <c r="K24" s="53">
        <v>6</v>
      </c>
      <c r="L24" s="53">
        <v>0</v>
      </c>
      <c r="M24" s="53">
        <f>Table13[[#This Row],[12/31/2023]]+1</f>
        <v>11</v>
      </c>
      <c r="N24" s="53">
        <f>Table13[[#This Row],[Recruited 23]]+1</f>
        <v>1</v>
      </c>
      <c r="O24" s="53">
        <f>IF(Table13[[#This Row],[Unit Type]]="Pack",10,12)</f>
        <v>10</v>
      </c>
      <c r="P24" s="53">
        <f>MAX(Table13[[#This Row],[Pack Recruit Goal]:[Min Recruit Goal]])</f>
        <v>10</v>
      </c>
      <c r="Q24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24" s="53">
        <f>Table13[[#This Row],[End Goal]]-Table13[[#This Row],[6/30/2023]]</f>
        <v>-3</v>
      </c>
      <c r="S24" s="4">
        <v>3854.86</v>
      </c>
      <c r="T24" s="4">
        <v>5632</v>
      </c>
      <c r="V24" s="4">
        <f>Table13[[#This Row],[2023 Sales]]*2</f>
        <v>0</v>
      </c>
      <c r="W24" s="53">
        <f>IF(Table13[[#This Row],[Double 2023]]&lt;4000,4000,0)</f>
        <v>4000</v>
      </c>
      <c r="X24" s="4">
        <f>MAX(Table13[[#This Row],[Double 2023]:[Min 4K]])</f>
        <v>4000</v>
      </c>
      <c r="Y24" s="96">
        <f>IF(Table13[[#This Row],[Max of goals]]&gt;15000,15000,Table13[[#This Row],[Max of goals]])</f>
        <v>4000</v>
      </c>
    </row>
    <row r="25" spans="1:25" x14ac:dyDescent="0.25">
      <c r="A25" t="s">
        <v>250</v>
      </c>
      <c r="B25" t="s">
        <v>58</v>
      </c>
      <c r="C25" t="s">
        <v>71</v>
      </c>
      <c r="D25" t="s">
        <v>85</v>
      </c>
      <c r="E25" s="53">
        <v>29</v>
      </c>
      <c r="F25">
        <v>8</v>
      </c>
      <c r="G25" s="53"/>
      <c r="H25" s="53">
        <v>12</v>
      </c>
      <c r="I25" s="53">
        <v>13</v>
      </c>
      <c r="J25" s="53">
        <v>27</v>
      </c>
      <c r="K25" s="53">
        <v>22</v>
      </c>
      <c r="L25" s="53">
        <v>12</v>
      </c>
      <c r="M25" s="53">
        <f>Table13[[#This Row],[12/31/2023]]+1</f>
        <v>28</v>
      </c>
      <c r="N25" s="53">
        <f>Table13[[#This Row],[Recruited 23]]+1</f>
        <v>13</v>
      </c>
      <c r="O25" s="53">
        <f>IF(Table13[[#This Row],[Unit Type]]="Pack",10,12)</f>
        <v>10</v>
      </c>
      <c r="P25" s="53">
        <f>MAX(Table13[[#This Row],[Pack Recruit Goal]:[Min Recruit Goal]])</f>
        <v>13</v>
      </c>
      <c r="Q25" s="53">
        <f>IF(Table13[[#This Row],[Unit Type]]="Pack",Table13[[#This Row],[Pack Recruit Growth Goal]],IF(Table13[[#This Row],[Troop Growth Goal]]&gt;11,Table13[[#This Row],[Troop Growth Goal]],Table13[[#This Row],[Min Recruit Goal]]))</f>
        <v>13</v>
      </c>
      <c r="R25" s="53">
        <f>Table13[[#This Row],[End Goal]]-Table13[[#This Row],[6/30/2023]]</f>
        <v>0</v>
      </c>
      <c r="S25" s="4">
        <v>60</v>
      </c>
      <c r="T25" s="4">
        <v>0</v>
      </c>
      <c r="V25" s="4">
        <f>Table13[[#This Row],[2023 Sales]]*2</f>
        <v>0</v>
      </c>
      <c r="W25" s="53">
        <f>IF(Table13[[#This Row],[Double 2023]]&lt;4000,4000,0)</f>
        <v>4000</v>
      </c>
      <c r="X25" s="4">
        <f>MAX(Table13[[#This Row],[Double 2023]:[Min 4K]])</f>
        <v>4000</v>
      </c>
      <c r="Y25" s="96">
        <f>IF(Table13[[#This Row],[Max of goals]]&gt;15000,15000,Table13[[#This Row],[Max of goals]])</f>
        <v>4000</v>
      </c>
    </row>
    <row r="26" spans="1:25" x14ac:dyDescent="0.25">
      <c r="A26" t="s">
        <v>251</v>
      </c>
      <c r="B26" t="s">
        <v>65</v>
      </c>
      <c r="C26" t="s">
        <v>71</v>
      </c>
      <c r="D26" t="s">
        <v>86</v>
      </c>
      <c r="E26" s="53">
        <v>14</v>
      </c>
      <c r="F26">
        <v>12</v>
      </c>
      <c r="G26" s="53"/>
      <c r="H26" s="53">
        <v>20</v>
      </c>
      <c r="I26" s="53">
        <v>11</v>
      </c>
      <c r="J26" s="53">
        <v>21</v>
      </c>
      <c r="K26" s="53">
        <v>21</v>
      </c>
      <c r="L26" s="53">
        <v>10</v>
      </c>
      <c r="M26" s="53">
        <f>Table13[[#This Row],[12/31/2023]]+1</f>
        <v>22</v>
      </c>
      <c r="N26" s="53">
        <f>Table13[[#This Row],[Recruited 23]]+1</f>
        <v>11</v>
      </c>
      <c r="O26" s="53">
        <f>IF(Table13[[#This Row],[Unit Type]]="Pack",10,12)</f>
        <v>10</v>
      </c>
      <c r="P26" s="53">
        <f>MAX(Table13[[#This Row],[Pack Recruit Goal]:[Min Recruit Goal]])</f>
        <v>11</v>
      </c>
      <c r="Q26" s="53">
        <f>IF(Table13[[#This Row],[Unit Type]]="Pack",Table13[[#This Row],[Pack Recruit Growth Goal]],IF(Table13[[#This Row],[Troop Growth Goal]]&gt;11,Table13[[#This Row],[Troop Growth Goal]],Table13[[#This Row],[Min Recruit Goal]]))</f>
        <v>11</v>
      </c>
      <c r="R26" s="53">
        <f>Table13[[#This Row],[End Goal]]-Table13[[#This Row],[6/30/2023]]</f>
        <v>0</v>
      </c>
      <c r="S26" s="4">
        <v>6071.62</v>
      </c>
      <c r="T26" s="4">
        <v>8556</v>
      </c>
      <c r="U26" s="4">
        <v>11804</v>
      </c>
      <c r="V26" s="4">
        <f>Table13[[#This Row],[2023 Sales]]*2</f>
        <v>23608</v>
      </c>
      <c r="W26" s="53">
        <f>IF(Table13[[#This Row],[Double 2023]]&lt;4000,4000,0)</f>
        <v>0</v>
      </c>
      <c r="X26" s="4">
        <f>MAX(Table13[[#This Row],[Double 2023]:[Min 4K]])</f>
        <v>23608</v>
      </c>
      <c r="Y26" s="96">
        <f>IF(Table13[[#This Row],[Max of goals]]&gt;15000,15000,Table13[[#This Row],[Max of goals]])</f>
        <v>15000</v>
      </c>
    </row>
    <row r="27" spans="1:25" x14ac:dyDescent="0.25">
      <c r="A27" t="s">
        <v>252</v>
      </c>
      <c r="B27" t="s">
        <v>65</v>
      </c>
      <c r="C27" t="s">
        <v>71</v>
      </c>
      <c r="D27" t="s">
        <v>87</v>
      </c>
      <c r="E27" s="53">
        <v>48</v>
      </c>
      <c r="F27">
        <v>37</v>
      </c>
      <c r="G27" s="53"/>
      <c r="H27" s="53">
        <v>44</v>
      </c>
      <c r="I27" s="53">
        <v>34</v>
      </c>
      <c r="J27" s="53">
        <v>37</v>
      </c>
      <c r="K27" s="53">
        <v>21</v>
      </c>
      <c r="L27" s="53">
        <v>4</v>
      </c>
      <c r="M27" s="53">
        <f>Table13[[#This Row],[12/31/2023]]+1</f>
        <v>38</v>
      </c>
      <c r="N27" s="53">
        <f>Table13[[#This Row],[Recruited 23]]+1</f>
        <v>5</v>
      </c>
      <c r="O27" s="53">
        <f>IF(Table13[[#This Row],[Unit Type]]="Pack",10,12)</f>
        <v>10</v>
      </c>
      <c r="P27" s="53">
        <f>MAX(Table13[[#This Row],[Pack Recruit Goal]:[Min Recruit Goal]])</f>
        <v>10</v>
      </c>
      <c r="Q27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27" s="53">
        <f>Table13[[#This Row],[End Goal]]-Table13[[#This Row],[6/30/2023]]</f>
        <v>-24</v>
      </c>
      <c r="S27" s="4">
        <v>8521.3700000000008</v>
      </c>
      <c r="T27" s="4">
        <v>0</v>
      </c>
      <c r="V27" s="4">
        <f>Table13[[#This Row],[2023 Sales]]*2</f>
        <v>0</v>
      </c>
      <c r="W27" s="53">
        <f>IF(Table13[[#This Row],[Double 2023]]&lt;4000,4000,0)</f>
        <v>4000</v>
      </c>
      <c r="X27" s="4">
        <f>MAX(Table13[[#This Row],[Double 2023]:[Min 4K]])</f>
        <v>4000</v>
      </c>
      <c r="Y27" s="96">
        <f>IF(Table13[[#This Row],[Max of goals]]&gt;15000,15000,Table13[[#This Row],[Max of goals]])</f>
        <v>4000</v>
      </c>
    </row>
    <row r="28" spans="1:25" x14ac:dyDescent="0.25">
      <c r="A28" t="s">
        <v>253</v>
      </c>
      <c r="B28" t="s">
        <v>65</v>
      </c>
      <c r="C28" t="s">
        <v>88</v>
      </c>
      <c r="D28" t="s">
        <v>89</v>
      </c>
      <c r="E28" s="53">
        <v>0</v>
      </c>
      <c r="F28">
        <v>2</v>
      </c>
      <c r="G28" s="53"/>
      <c r="H28" s="53">
        <v>1</v>
      </c>
      <c r="I28" s="53"/>
      <c r="J28" s="53">
        <v>0</v>
      </c>
      <c r="K28" s="53">
        <v>0</v>
      </c>
      <c r="L28" s="53">
        <v>0</v>
      </c>
      <c r="M28" s="53">
        <f>Table13[[#This Row],[12/31/2023]]+1</f>
        <v>1</v>
      </c>
      <c r="N28" s="53">
        <f>Table13[[#This Row],[Recruited 23]]+1</f>
        <v>1</v>
      </c>
      <c r="O28" s="53">
        <f>IF(Table13[[#This Row],[Unit Type]]="Pack",10,12)</f>
        <v>12</v>
      </c>
      <c r="P28" s="53">
        <f>MAX(Table13[[#This Row],[Pack Recruit Goal]:[Min Recruit Goal]])</f>
        <v>12</v>
      </c>
      <c r="Q28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28" s="53">
        <f>Table13[[#This Row],[End Goal]]-Table13[[#This Row],[6/30/2023]]</f>
        <v>12</v>
      </c>
      <c r="S28" s="4">
        <v>0</v>
      </c>
      <c r="T28" s="4">
        <v>0</v>
      </c>
      <c r="V28" s="4">
        <f>Table13[[#This Row],[2023 Sales]]*2</f>
        <v>0</v>
      </c>
      <c r="W28" s="53">
        <f>IF(Table13[[#This Row],[Double 2023]]&lt;4000,4000,0)</f>
        <v>4000</v>
      </c>
      <c r="X28" s="4">
        <f>MAX(Table13[[#This Row],[Double 2023]:[Min 4K]])</f>
        <v>4000</v>
      </c>
      <c r="Y28" s="96">
        <f>IF(Table13[[#This Row],[Max of goals]]&gt;15000,15000,Table13[[#This Row],[Max of goals]])</f>
        <v>4000</v>
      </c>
    </row>
    <row r="29" spans="1:25" x14ac:dyDescent="0.25">
      <c r="A29" t="s">
        <v>254</v>
      </c>
      <c r="B29" t="s">
        <v>65</v>
      </c>
      <c r="C29" t="s">
        <v>71</v>
      </c>
      <c r="D29" t="s">
        <v>90</v>
      </c>
      <c r="E29" s="53">
        <v>47</v>
      </c>
      <c r="F29">
        <v>28</v>
      </c>
      <c r="G29" s="53"/>
      <c r="H29" s="53">
        <v>31</v>
      </c>
      <c r="I29" s="53">
        <v>17</v>
      </c>
      <c r="J29" s="53">
        <v>25</v>
      </c>
      <c r="K29" s="53">
        <v>22</v>
      </c>
      <c r="L29" s="53">
        <v>7</v>
      </c>
      <c r="M29" s="53">
        <f>Table13[[#This Row],[12/31/2023]]+1</f>
        <v>26</v>
      </c>
      <c r="N29" s="53">
        <f>Table13[[#This Row],[Recruited 23]]+1</f>
        <v>8</v>
      </c>
      <c r="O29" s="53">
        <f>IF(Table13[[#This Row],[Unit Type]]="Pack",10,12)</f>
        <v>10</v>
      </c>
      <c r="P29" s="53">
        <f>MAX(Table13[[#This Row],[Pack Recruit Goal]:[Min Recruit Goal]])</f>
        <v>10</v>
      </c>
      <c r="Q29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29" s="53">
        <f>Table13[[#This Row],[End Goal]]-Table13[[#This Row],[6/30/2023]]</f>
        <v>-7</v>
      </c>
      <c r="S29" s="4">
        <v>17431.68</v>
      </c>
      <c r="T29" s="4">
        <v>8726</v>
      </c>
      <c r="U29" s="4">
        <v>8270</v>
      </c>
      <c r="V29" s="4">
        <f>Table13[[#This Row],[2023 Sales]]*2</f>
        <v>16540</v>
      </c>
      <c r="W29" s="53">
        <f>IF(Table13[[#This Row],[Double 2023]]&lt;4000,4000,0)</f>
        <v>0</v>
      </c>
      <c r="X29" s="4">
        <f>MAX(Table13[[#This Row],[Double 2023]:[Min 4K]])</f>
        <v>16540</v>
      </c>
      <c r="Y29" s="96">
        <f>IF(Table13[[#This Row],[Max of goals]]&gt;15000,15000,Table13[[#This Row],[Max of goals]])</f>
        <v>15000</v>
      </c>
    </row>
    <row r="30" spans="1:25" x14ac:dyDescent="0.25">
      <c r="A30" t="s">
        <v>255</v>
      </c>
      <c r="B30" t="s">
        <v>68</v>
      </c>
      <c r="C30" t="s">
        <v>71</v>
      </c>
      <c r="D30" t="s">
        <v>91</v>
      </c>
      <c r="E30" s="53">
        <v>30</v>
      </c>
      <c r="F30">
        <v>19</v>
      </c>
      <c r="G30" s="53"/>
      <c r="H30" s="53">
        <v>22</v>
      </c>
      <c r="I30" s="53">
        <v>17</v>
      </c>
      <c r="J30" s="53">
        <v>30</v>
      </c>
      <c r="K30" s="53">
        <v>22</v>
      </c>
      <c r="L30" s="53">
        <v>13</v>
      </c>
      <c r="M30" s="53">
        <f>Table13[[#This Row],[12/31/2023]]+1</f>
        <v>31</v>
      </c>
      <c r="N30" s="53">
        <f>Table13[[#This Row],[Recruited 23]]+1</f>
        <v>14</v>
      </c>
      <c r="O30" s="53">
        <f>IF(Table13[[#This Row],[Unit Type]]="Pack",10,12)</f>
        <v>10</v>
      </c>
      <c r="P30" s="53">
        <f>MAX(Table13[[#This Row],[Pack Recruit Goal]:[Min Recruit Goal]])</f>
        <v>14</v>
      </c>
      <c r="Q30" s="53">
        <f>IF(Table13[[#This Row],[Unit Type]]="Pack",Table13[[#This Row],[Pack Recruit Growth Goal]],IF(Table13[[#This Row],[Troop Growth Goal]]&gt;11,Table13[[#This Row],[Troop Growth Goal]],Table13[[#This Row],[Min Recruit Goal]]))</f>
        <v>14</v>
      </c>
      <c r="R30" s="53">
        <f>Table13[[#This Row],[End Goal]]-Table13[[#This Row],[6/30/2023]]</f>
        <v>-3</v>
      </c>
      <c r="S30" s="4">
        <v>4159.3</v>
      </c>
      <c r="T30" s="4">
        <v>17599</v>
      </c>
      <c r="U30" s="4">
        <v>18719</v>
      </c>
      <c r="V30" s="4">
        <f>Table13[[#This Row],[2023 Sales]]*2</f>
        <v>37438</v>
      </c>
      <c r="W30" s="53">
        <f>IF(Table13[[#This Row],[Double 2023]]&lt;4000,4000,0)</f>
        <v>0</v>
      </c>
      <c r="X30" s="4">
        <f>MAX(Table13[[#This Row],[Double 2023]:[Min 4K]])</f>
        <v>37438</v>
      </c>
      <c r="Y30" s="96">
        <f>IF(Table13[[#This Row],[Max of goals]]&gt;15000,15000,Table13[[#This Row],[Max of goals]])</f>
        <v>15000</v>
      </c>
    </row>
    <row r="31" spans="1:25" x14ac:dyDescent="0.25">
      <c r="A31" t="s">
        <v>256</v>
      </c>
      <c r="B31" t="s">
        <v>65</v>
      </c>
      <c r="C31" t="s">
        <v>71</v>
      </c>
      <c r="D31" t="s">
        <v>92</v>
      </c>
      <c r="E31" s="53">
        <v>33</v>
      </c>
      <c r="F31">
        <v>21</v>
      </c>
      <c r="G31" s="53"/>
      <c r="H31" s="53">
        <v>28</v>
      </c>
      <c r="I31" s="53">
        <v>23</v>
      </c>
      <c r="J31" s="53">
        <v>26</v>
      </c>
      <c r="K31" s="53">
        <v>17</v>
      </c>
      <c r="L31" s="53">
        <v>4</v>
      </c>
      <c r="M31" s="53">
        <f>Table13[[#This Row],[12/31/2023]]+1</f>
        <v>27</v>
      </c>
      <c r="N31" s="53">
        <f>Table13[[#This Row],[Recruited 23]]+1</f>
        <v>5</v>
      </c>
      <c r="O31" s="53">
        <f>IF(Table13[[#This Row],[Unit Type]]="Pack",10,12)</f>
        <v>10</v>
      </c>
      <c r="P31" s="53">
        <f>MAX(Table13[[#This Row],[Pack Recruit Goal]:[Min Recruit Goal]])</f>
        <v>10</v>
      </c>
      <c r="Q31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31" s="53">
        <f>Table13[[#This Row],[End Goal]]-Table13[[#This Row],[6/30/2023]]</f>
        <v>-13</v>
      </c>
      <c r="S31" s="4">
        <v>7356.52</v>
      </c>
      <c r="T31" s="4">
        <v>10474</v>
      </c>
      <c r="U31" s="4">
        <v>11268</v>
      </c>
      <c r="V31" s="4">
        <f>Table13[[#This Row],[2023 Sales]]*2</f>
        <v>22536</v>
      </c>
      <c r="W31" s="53">
        <f>IF(Table13[[#This Row],[Double 2023]]&lt;4000,4000,0)</f>
        <v>0</v>
      </c>
      <c r="X31" s="4">
        <f>MAX(Table13[[#This Row],[Double 2023]:[Min 4K]])</f>
        <v>22536</v>
      </c>
      <c r="Y31" s="96">
        <f>IF(Table13[[#This Row],[Max of goals]]&gt;15000,15000,Table13[[#This Row],[Max of goals]])</f>
        <v>15000</v>
      </c>
    </row>
    <row r="32" spans="1:25" x14ac:dyDescent="0.25">
      <c r="A32" t="s">
        <v>257</v>
      </c>
      <c r="B32" t="s">
        <v>65</v>
      </c>
      <c r="C32" t="s">
        <v>71</v>
      </c>
      <c r="D32" t="s">
        <v>93</v>
      </c>
      <c r="E32" s="53">
        <v>38</v>
      </c>
      <c r="F32">
        <v>21</v>
      </c>
      <c r="G32" s="53"/>
      <c r="H32" s="53">
        <v>35</v>
      </c>
      <c r="I32" s="53">
        <v>22</v>
      </c>
      <c r="J32" s="53">
        <v>27</v>
      </c>
      <c r="K32" s="53">
        <v>17</v>
      </c>
      <c r="L32" s="53">
        <v>3</v>
      </c>
      <c r="M32" s="53">
        <f>Table13[[#This Row],[12/31/2023]]+1</f>
        <v>28</v>
      </c>
      <c r="N32" s="53">
        <f>Table13[[#This Row],[Recruited 23]]+1</f>
        <v>4</v>
      </c>
      <c r="O32" s="53">
        <f>IF(Table13[[#This Row],[Unit Type]]="Pack",10,12)</f>
        <v>10</v>
      </c>
      <c r="P32" s="53">
        <f>MAX(Table13[[#This Row],[Pack Recruit Goal]:[Min Recruit Goal]])</f>
        <v>10</v>
      </c>
      <c r="Q32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32" s="53">
        <f>Table13[[#This Row],[End Goal]]-Table13[[#This Row],[6/30/2023]]</f>
        <v>-12</v>
      </c>
      <c r="S32" s="4">
        <v>17096.97</v>
      </c>
      <c r="T32" s="4">
        <v>13811</v>
      </c>
      <c r="U32" s="4">
        <v>11758</v>
      </c>
      <c r="V32" s="4">
        <f>Table13[[#This Row],[2023 Sales]]*2</f>
        <v>23516</v>
      </c>
      <c r="W32" s="53">
        <f>IF(Table13[[#This Row],[Double 2023]]&lt;4000,4000,0)</f>
        <v>0</v>
      </c>
      <c r="X32" s="4">
        <f>MAX(Table13[[#This Row],[Double 2023]:[Min 4K]])</f>
        <v>23516</v>
      </c>
      <c r="Y32" s="96">
        <f>IF(Table13[[#This Row],[Max of goals]]&gt;15000,15000,Table13[[#This Row],[Max of goals]])</f>
        <v>15000</v>
      </c>
    </row>
    <row r="33" spans="1:25" x14ac:dyDescent="0.25">
      <c r="A33" t="s">
        <v>258</v>
      </c>
      <c r="B33" t="s">
        <v>65</v>
      </c>
      <c r="C33" t="s">
        <v>71</v>
      </c>
      <c r="D33" t="s">
        <v>94</v>
      </c>
      <c r="E33" s="53">
        <v>26</v>
      </c>
      <c r="F33">
        <v>17</v>
      </c>
      <c r="G33" s="53"/>
      <c r="H33" s="53">
        <v>27</v>
      </c>
      <c r="I33" s="53">
        <v>16</v>
      </c>
      <c r="J33" s="53">
        <v>17</v>
      </c>
      <c r="K33" s="53">
        <v>6</v>
      </c>
      <c r="L33" s="53">
        <v>1</v>
      </c>
      <c r="M33" s="53">
        <f>Table13[[#This Row],[12/31/2023]]+1</f>
        <v>18</v>
      </c>
      <c r="N33" s="53">
        <f>Table13[[#This Row],[Recruited 23]]+1</f>
        <v>2</v>
      </c>
      <c r="O33" s="53">
        <f>IF(Table13[[#This Row],[Unit Type]]="Pack",10,12)</f>
        <v>10</v>
      </c>
      <c r="P33" s="53">
        <f>MAX(Table13[[#This Row],[Pack Recruit Goal]:[Min Recruit Goal]])</f>
        <v>10</v>
      </c>
      <c r="Q33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33" s="53">
        <f>Table13[[#This Row],[End Goal]]-Table13[[#This Row],[6/30/2023]]</f>
        <v>-6</v>
      </c>
      <c r="S33" s="4">
        <v>0</v>
      </c>
      <c r="T33" s="4">
        <v>0</v>
      </c>
      <c r="V33" s="4">
        <f>Table13[[#This Row],[2023 Sales]]*2</f>
        <v>0</v>
      </c>
      <c r="W33" s="53">
        <f>IF(Table13[[#This Row],[Double 2023]]&lt;4000,4000,0)</f>
        <v>4000</v>
      </c>
      <c r="X33" s="4">
        <f>MAX(Table13[[#This Row],[Double 2023]:[Min 4K]])</f>
        <v>4000</v>
      </c>
      <c r="Y33" s="96">
        <f>IF(Table13[[#This Row],[Max of goals]]&gt;15000,15000,Table13[[#This Row],[Max of goals]])</f>
        <v>4000</v>
      </c>
    </row>
    <row r="34" spans="1:25" x14ac:dyDescent="0.25">
      <c r="A34" t="s">
        <v>259</v>
      </c>
      <c r="B34" t="s">
        <v>65</v>
      </c>
      <c r="C34" t="s">
        <v>71</v>
      </c>
      <c r="D34" t="s">
        <v>95</v>
      </c>
      <c r="E34" s="53">
        <v>36</v>
      </c>
      <c r="F34">
        <v>26</v>
      </c>
      <c r="G34" s="53"/>
      <c r="H34" s="53">
        <v>39</v>
      </c>
      <c r="I34" s="53">
        <v>26</v>
      </c>
      <c r="J34" s="53">
        <v>43</v>
      </c>
      <c r="K34" s="53">
        <v>34</v>
      </c>
      <c r="L34" s="53">
        <v>15</v>
      </c>
      <c r="M34" s="53">
        <f>Table13[[#This Row],[12/31/2023]]+1</f>
        <v>44</v>
      </c>
      <c r="N34" s="53">
        <f>Table13[[#This Row],[Recruited 23]]+1</f>
        <v>16</v>
      </c>
      <c r="O34" s="53">
        <f>IF(Table13[[#This Row],[Unit Type]]="Pack",10,12)</f>
        <v>10</v>
      </c>
      <c r="P34" s="53">
        <f>MAX(Table13[[#This Row],[Pack Recruit Goal]:[Min Recruit Goal]])</f>
        <v>16</v>
      </c>
      <c r="Q34" s="53">
        <f>IF(Table13[[#This Row],[Unit Type]]="Pack",Table13[[#This Row],[Pack Recruit Growth Goal]],IF(Table13[[#This Row],[Troop Growth Goal]]&gt;11,Table13[[#This Row],[Troop Growth Goal]],Table13[[#This Row],[Min Recruit Goal]]))</f>
        <v>16</v>
      </c>
      <c r="R34" s="53">
        <f>Table13[[#This Row],[End Goal]]-Table13[[#This Row],[6/30/2023]]</f>
        <v>-10</v>
      </c>
      <c r="S34" s="4">
        <v>12269.9</v>
      </c>
      <c r="T34" s="4">
        <v>16537</v>
      </c>
      <c r="U34" s="4">
        <v>21041</v>
      </c>
      <c r="V34" s="4">
        <f>Table13[[#This Row],[2023 Sales]]*2</f>
        <v>42082</v>
      </c>
      <c r="W34" s="53">
        <f>IF(Table13[[#This Row],[Double 2023]]&lt;4000,4000,0)</f>
        <v>0</v>
      </c>
      <c r="X34" s="4">
        <f>MAX(Table13[[#This Row],[Double 2023]:[Min 4K]])</f>
        <v>42082</v>
      </c>
      <c r="Y34" s="96">
        <f>IF(Table13[[#This Row],[Max of goals]]&gt;15000,15000,Table13[[#This Row],[Max of goals]])</f>
        <v>15000</v>
      </c>
    </row>
    <row r="35" spans="1:25" x14ac:dyDescent="0.25">
      <c r="A35" t="s">
        <v>260</v>
      </c>
      <c r="B35" t="s">
        <v>68</v>
      </c>
      <c r="C35" t="s">
        <v>71</v>
      </c>
      <c r="D35" t="s">
        <v>96</v>
      </c>
      <c r="E35" s="53">
        <v>35</v>
      </c>
      <c r="F35">
        <v>10</v>
      </c>
      <c r="G35" s="53"/>
      <c r="H35" s="53">
        <v>12</v>
      </c>
      <c r="I35" s="53">
        <v>16</v>
      </c>
      <c r="J35" s="53">
        <v>16</v>
      </c>
      <c r="K35" s="53">
        <v>10</v>
      </c>
      <c r="L35" s="53">
        <v>3</v>
      </c>
      <c r="M35" s="53">
        <f>Table13[[#This Row],[12/31/2023]]+1</f>
        <v>17</v>
      </c>
      <c r="N35" s="53">
        <f>Table13[[#This Row],[Recruited 23]]+1</f>
        <v>4</v>
      </c>
      <c r="O35" s="53">
        <f>IF(Table13[[#This Row],[Unit Type]]="Pack",10,12)</f>
        <v>10</v>
      </c>
      <c r="P35" s="53">
        <f>MAX(Table13[[#This Row],[Pack Recruit Goal]:[Min Recruit Goal]])</f>
        <v>10</v>
      </c>
      <c r="Q35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35" s="53">
        <f>Table13[[#This Row],[End Goal]]-Table13[[#This Row],[6/30/2023]]</f>
        <v>-6</v>
      </c>
      <c r="S35" s="4">
        <v>369.93</v>
      </c>
      <c r="T35" s="4">
        <v>30</v>
      </c>
      <c r="V35" s="4">
        <f>Table13[[#This Row],[2023 Sales]]*2</f>
        <v>0</v>
      </c>
      <c r="W35" s="53">
        <f>IF(Table13[[#This Row],[Double 2023]]&lt;4000,4000,0)</f>
        <v>4000</v>
      </c>
      <c r="X35" s="4">
        <f>MAX(Table13[[#This Row],[Double 2023]:[Min 4K]])</f>
        <v>4000</v>
      </c>
      <c r="Y35" s="96">
        <f>IF(Table13[[#This Row],[Max of goals]]&gt;15000,15000,Table13[[#This Row],[Max of goals]])</f>
        <v>4000</v>
      </c>
    </row>
    <row r="36" spans="1:25" x14ac:dyDescent="0.25">
      <c r="A36" t="s">
        <v>261</v>
      </c>
      <c r="B36" t="s">
        <v>68</v>
      </c>
      <c r="C36" t="s">
        <v>71</v>
      </c>
      <c r="D36" t="s">
        <v>97</v>
      </c>
      <c r="E36" s="53">
        <v>14</v>
      </c>
      <c r="F36">
        <v>10</v>
      </c>
      <c r="G36" s="53"/>
      <c r="H36" s="53">
        <v>11</v>
      </c>
      <c r="I36" s="53"/>
      <c r="J36" s="53">
        <v>0</v>
      </c>
      <c r="K36" s="53">
        <v>0</v>
      </c>
      <c r="L36" s="53">
        <v>0</v>
      </c>
      <c r="M36" s="53">
        <f>Table13[[#This Row],[12/31/2023]]+1</f>
        <v>1</v>
      </c>
      <c r="N36" s="53">
        <f>Table13[[#This Row],[Recruited 23]]+1</f>
        <v>1</v>
      </c>
      <c r="O36" s="53">
        <f>IF(Table13[[#This Row],[Unit Type]]="Pack",10,12)</f>
        <v>10</v>
      </c>
      <c r="P36" s="53">
        <f>MAX(Table13[[#This Row],[Pack Recruit Goal]:[Min Recruit Goal]])</f>
        <v>10</v>
      </c>
      <c r="Q36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36" s="53">
        <f>Table13[[#This Row],[End Goal]]-Table13[[#This Row],[6/30/2023]]</f>
        <v>10</v>
      </c>
      <c r="S36" s="4">
        <v>5039.84</v>
      </c>
      <c r="T36" s="4">
        <v>3640</v>
      </c>
      <c r="V36" s="4">
        <f>Table13[[#This Row],[2023 Sales]]*2</f>
        <v>0</v>
      </c>
      <c r="W36" s="53">
        <f>IF(Table13[[#This Row],[Double 2023]]&lt;4000,4000,0)</f>
        <v>4000</v>
      </c>
      <c r="X36" s="4">
        <f>MAX(Table13[[#This Row],[Double 2023]:[Min 4K]])</f>
        <v>4000</v>
      </c>
      <c r="Y36" s="96">
        <f>IF(Table13[[#This Row],[Max of goals]]&gt;15000,15000,Table13[[#This Row],[Max of goals]])</f>
        <v>4000</v>
      </c>
    </row>
    <row r="37" spans="1:25" x14ac:dyDescent="0.25">
      <c r="A37" t="s">
        <v>262</v>
      </c>
      <c r="B37" t="s">
        <v>68</v>
      </c>
      <c r="C37" t="s">
        <v>71</v>
      </c>
      <c r="D37" t="s">
        <v>98</v>
      </c>
      <c r="E37" s="53">
        <v>61</v>
      </c>
      <c r="F37">
        <v>51</v>
      </c>
      <c r="G37" s="53"/>
      <c r="H37" s="53">
        <v>88</v>
      </c>
      <c r="I37" s="53">
        <v>73</v>
      </c>
      <c r="J37" s="53">
        <v>98</v>
      </c>
      <c r="K37" s="53">
        <v>68</v>
      </c>
      <c r="L37" s="53">
        <v>20</v>
      </c>
      <c r="M37" s="53">
        <f>Table13[[#This Row],[12/31/2023]]+1</f>
        <v>99</v>
      </c>
      <c r="N37" s="53">
        <f>Table13[[#This Row],[Recruited 23]]+1</f>
        <v>21</v>
      </c>
      <c r="O37" s="53">
        <f>IF(Table13[[#This Row],[Unit Type]]="Pack",10,12)</f>
        <v>10</v>
      </c>
      <c r="P37" s="53">
        <f>MAX(Table13[[#This Row],[Pack Recruit Goal]:[Min Recruit Goal]])</f>
        <v>21</v>
      </c>
      <c r="Q37" s="53">
        <f>IF(Table13[[#This Row],[Unit Type]]="Pack",Table13[[#This Row],[Pack Recruit Growth Goal]],IF(Table13[[#This Row],[Troop Growth Goal]]&gt;11,Table13[[#This Row],[Troop Growth Goal]],Table13[[#This Row],[Min Recruit Goal]]))</f>
        <v>21</v>
      </c>
      <c r="R37" s="53">
        <f>Table13[[#This Row],[End Goal]]-Table13[[#This Row],[6/30/2023]]</f>
        <v>-52</v>
      </c>
      <c r="S37" s="4">
        <v>0</v>
      </c>
      <c r="T37" s="4">
        <v>0</v>
      </c>
      <c r="V37" s="4">
        <f>Table13[[#This Row],[2023 Sales]]*2</f>
        <v>0</v>
      </c>
      <c r="W37" s="53">
        <f>IF(Table13[[#This Row],[Double 2023]]&lt;4000,4000,0)</f>
        <v>4000</v>
      </c>
      <c r="X37" s="4">
        <f>MAX(Table13[[#This Row],[Double 2023]:[Min 4K]])</f>
        <v>4000</v>
      </c>
      <c r="Y37" s="96">
        <f>IF(Table13[[#This Row],[Max of goals]]&gt;15000,15000,Table13[[#This Row],[Max of goals]])</f>
        <v>4000</v>
      </c>
    </row>
    <row r="38" spans="1:25" x14ac:dyDescent="0.25">
      <c r="A38" t="s">
        <v>263</v>
      </c>
      <c r="B38" t="s">
        <v>58</v>
      </c>
      <c r="C38" t="s">
        <v>71</v>
      </c>
      <c r="D38" t="s">
        <v>99</v>
      </c>
      <c r="E38" s="53">
        <v>33</v>
      </c>
      <c r="F38">
        <v>20</v>
      </c>
      <c r="G38" s="53"/>
      <c r="H38" s="53">
        <v>25</v>
      </c>
      <c r="I38" s="53">
        <v>15</v>
      </c>
      <c r="J38" s="53">
        <v>9</v>
      </c>
      <c r="K38" s="53">
        <v>0</v>
      </c>
      <c r="L38" s="53">
        <v>0</v>
      </c>
      <c r="M38" s="53">
        <f>Table13[[#This Row],[12/31/2023]]+1</f>
        <v>10</v>
      </c>
      <c r="N38" s="53">
        <f>Table13[[#This Row],[Recruited 23]]+1</f>
        <v>1</v>
      </c>
      <c r="O38" s="53">
        <f>IF(Table13[[#This Row],[Unit Type]]="Pack",10,12)</f>
        <v>10</v>
      </c>
      <c r="P38" s="53">
        <f>MAX(Table13[[#This Row],[Pack Recruit Goal]:[Min Recruit Goal]])</f>
        <v>10</v>
      </c>
      <c r="Q38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38" s="53">
        <f>Table13[[#This Row],[End Goal]]-Table13[[#This Row],[6/30/2023]]</f>
        <v>-5</v>
      </c>
      <c r="S38" s="4">
        <v>13557.78</v>
      </c>
      <c r="T38" s="4">
        <v>0</v>
      </c>
      <c r="V38" s="4">
        <f>Table13[[#This Row],[2023 Sales]]*2</f>
        <v>0</v>
      </c>
      <c r="W38" s="53">
        <f>IF(Table13[[#This Row],[Double 2023]]&lt;4000,4000,0)</f>
        <v>4000</v>
      </c>
      <c r="X38" s="4">
        <f>MAX(Table13[[#This Row],[Double 2023]:[Min 4K]])</f>
        <v>4000</v>
      </c>
      <c r="Y38" s="96">
        <f>IF(Table13[[#This Row],[Max of goals]]&gt;15000,15000,Table13[[#This Row],[Max of goals]])</f>
        <v>4000</v>
      </c>
    </row>
    <row r="39" spans="1:25" x14ac:dyDescent="0.25">
      <c r="A39" t="s">
        <v>264</v>
      </c>
      <c r="B39" t="s">
        <v>58</v>
      </c>
      <c r="C39" t="s">
        <v>71</v>
      </c>
      <c r="D39" t="s">
        <v>100</v>
      </c>
      <c r="E39" s="53">
        <v>4</v>
      </c>
      <c r="F39">
        <v>3</v>
      </c>
      <c r="G39" s="53"/>
      <c r="H39" s="53">
        <v>2</v>
      </c>
      <c r="I39" s="53">
        <v>2</v>
      </c>
      <c r="J39" s="53">
        <v>11</v>
      </c>
      <c r="K39" s="53">
        <v>10</v>
      </c>
      <c r="L39" s="53">
        <v>0</v>
      </c>
      <c r="M39" s="53">
        <f>Table13[[#This Row],[12/31/2023]]+1</f>
        <v>12</v>
      </c>
      <c r="N39" s="53">
        <f>Table13[[#This Row],[Recruited 23]]+1</f>
        <v>1</v>
      </c>
      <c r="O39" s="53">
        <f>IF(Table13[[#This Row],[Unit Type]]="Pack",10,12)</f>
        <v>10</v>
      </c>
      <c r="P39" s="53">
        <f>MAX(Table13[[#This Row],[Pack Recruit Goal]:[Min Recruit Goal]])</f>
        <v>10</v>
      </c>
      <c r="Q39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39" s="53">
        <f>Table13[[#This Row],[End Goal]]-Table13[[#This Row],[6/30/2023]]</f>
        <v>8</v>
      </c>
      <c r="S39" s="4">
        <v>0</v>
      </c>
      <c r="T39" s="4">
        <v>0</v>
      </c>
      <c r="V39" s="4">
        <f>Table13[[#This Row],[2023 Sales]]*2</f>
        <v>0</v>
      </c>
      <c r="W39" s="53">
        <f>IF(Table13[[#This Row],[Double 2023]]&lt;4000,4000,0)</f>
        <v>4000</v>
      </c>
      <c r="X39" s="4">
        <f>MAX(Table13[[#This Row],[Double 2023]:[Min 4K]])</f>
        <v>4000</v>
      </c>
      <c r="Y39" s="96">
        <f>IF(Table13[[#This Row],[Max of goals]]&gt;15000,15000,Table13[[#This Row],[Max of goals]])</f>
        <v>4000</v>
      </c>
    </row>
    <row r="40" spans="1:25" x14ac:dyDescent="0.25">
      <c r="A40" t="s">
        <v>265</v>
      </c>
      <c r="B40" t="s">
        <v>65</v>
      </c>
      <c r="C40" t="s">
        <v>71</v>
      </c>
      <c r="D40" t="s">
        <v>101</v>
      </c>
      <c r="E40" s="53">
        <v>47</v>
      </c>
      <c r="F40">
        <v>34</v>
      </c>
      <c r="G40" s="53"/>
      <c r="H40" s="53">
        <v>46</v>
      </c>
      <c r="I40" s="53">
        <v>32</v>
      </c>
      <c r="J40" s="53">
        <v>44</v>
      </c>
      <c r="K40" s="53">
        <v>39</v>
      </c>
      <c r="L40" s="53">
        <v>11</v>
      </c>
      <c r="M40" s="53">
        <f>Table13[[#This Row],[12/31/2023]]+1</f>
        <v>45</v>
      </c>
      <c r="N40" s="53">
        <f>Table13[[#This Row],[Recruited 23]]+1</f>
        <v>12</v>
      </c>
      <c r="O40" s="53">
        <f>IF(Table13[[#This Row],[Unit Type]]="Pack",10,12)</f>
        <v>10</v>
      </c>
      <c r="P40" s="53">
        <f>MAX(Table13[[#This Row],[Pack Recruit Goal]:[Min Recruit Goal]])</f>
        <v>12</v>
      </c>
      <c r="Q40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40" s="53">
        <f>Table13[[#This Row],[End Goal]]-Table13[[#This Row],[6/30/2023]]</f>
        <v>-20</v>
      </c>
      <c r="S40" s="4">
        <v>12657.81</v>
      </c>
      <c r="T40" s="4">
        <v>15096</v>
      </c>
      <c r="U40" s="4">
        <v>15831</v>
      </c>
      <c r="V40" s="4">
        <f>Table13[[#This Row],[2023 Sales]]*2</f>
        <v>31662</v>
      </c>
      <c r="W40" s="53">
        <f>IF(Table13[[#This Row],[Double 2023]]&lt;4000,4000,0)</f>
        <v>0</v>
      </c>
      <c r="X40" s="4">
        <f>MAX(Table13[[#This Row],[Double 2023]:[Min 4K]])</f>
        <v>31662</v>
      </c>
      <c r="Y40" s="96">
        <f>IF(Table13[[#This Row],[Max of goals]]&gt;15000,15000,Table13[[#This Row],[Max of goals]])</f>
        <v>15000</v>
      </c>
    </row>
    <row r="41" spans="1:25" x14ac:dyDescent="0.25">
      <c r="A41" t="s">
        <v>266</v>
      </c>
      <c r="B41" t="s">
        <v>62</v>
      </c>
      <c r="C41" t="s">
        <v>71</v>
      </c>
      <c r="D41" t="s">
        <v>102</v>
      </c>
      <c r="E41" s="53">
        <v>22</v>
      </c>
      <c r="F41">
        <v>12</v>
      </c>
      <c r="G41" s="53"/>
      <c r="H41" s="53">
        <v>22</v>
      </c>
      <c r="I41" s="53">
        <v>17</v>
      </c>
      <c r="J41" s="53">
        <v>22</v>
      </c>
      <c r="K41" s="53">
        <v>18</v>
      </c>
      <c r="L41" s="53">
        <v>5</v>
      </c>
      <c r="M41" s="53">
        <f>Table13[[#This Row],[12/31/2023]]+1</f>
        <v>23</v>
      </c>
      <c r="N41" s="53">
        <f>Table13[[#This Row],[Recruited 23]]+1</f>
        <v>6</v>
      </c>
      <c r="O41" s="53">
        <f>IF(Table13[[#This Row],[Unit Type]]="Pack",10,12)</f>
        <v>10</v>
      </c>
      <c r="P41" s="53">
        <f>MAX(Table13[[#This Row],[Pack Recruit Goal]:[Min Recruit Goal]])</f>
        <v>10</v>
      </c>
      <c r="Q41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41" s="53">
        <f>Table13[[#This Row],[End Goal]]-Table13[[#This Row],[6/30/2023]]</f>
        <v>-7</v>
      </c>
      <c r="S41" s="4">
        <v>639.94000000000005</v>
      </c>
      <c r="T41" s="4">
        <v>342</v>
      </c>
      <c r="U41" s="4">
        <v>192</v>
      </c>
      <c r="V41" s="4">
        <f>Table13[[#This Row],[2023 Sales]]*2</f>
        <v>384</v>
      </c>
      <c r="W41" s="53">
        <f>IF(Table13[[#This Row],[Double 2023]]&lt;4000,4000,0)</f>
        <v>4000</v>
      </c>
      <c r="X41" s="4">
        <f>MAX(Table13[[#This Row],[Double 2023]:[Min 4K]])</f>
        <v>4000</v>
      </c>
      <c r="Y41" s="96">
        <f>IF(Table13[[#This Row],[Max of goals]]&gt;15000,15000,Table13[[#This Row],[Max of goals]])</f>
        <v>4000</v>
      </c>
    </row>
    <row r="42" spans="1:25" x14ac:dyDescent="0.25">
      <c r="A42" t="s">
        <v>267</v>
      </c>
      <c r="B42" t="s">
        <v>62</v>
      </c>
      <c r="C42" t="s">
        <v>71</v>
      </c>
      <c r="D42" t="s">
        <v>103</v>
      </c>
      <c r="E42" s="53">
        <v>40</v>
      </c>
      <c r="F42">
        <v>33</v>
      </c>
      <c r="G42" s="53"/>
      <c r="H42" s="53">
        <v>44</v>
      </c>
      <c r="I42" s="53">
        <v>37</v>
      </c>
      <c r="J42" s="53">
        <v>47</v>
      </c>
      <c r="K42" s="53">
        <v>33</v>
      </c>
      <c r="L42" s="53">
        <v>9</v>
      </c>
      <c r="M42" s="53">
        <f>Table13[[#This Row],[12/31/2023]]+1</f>
        <v>48</v>
      </c>
      <c r="N42" s="53">
        <f>Table13[[#This Row],[Recruited 23]]+1</f>
        <v>10</v>
      </c>
      <c r="O42" s="53">
        <f>IF(Table13[[#This Row],[Unit Type]]="Pack",10,12)</f>
        <v>10</v>
      </c>
      <c r="P42" s="53">
        <f>MAX(Table13[[#This Row],[Pack Recruit Goal]:[Min Recruit Goal]])</f>
        <v>10</v>
      </c>
      <c r="Q42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42" s="53">
        <f>Table13[[#This Row],[End Goal]]-Table13[[#This Row],[6/30/2023]]</f>
        <v>-27</v>
      </c>
      <c r="S42" s="4">
        <v>23354.17</v>
      </c>
      <c r="T42" s="4">
        <v>11509</v>
      </c>
      <c r="U42" s="4">
        <v>9282</v>
      </c>
      <c r="V42" s="4">
        <f>Table13[[#This Row],[2023 Sales]]*2</f>
        <v>18564</v>
      </c>
      <c r="W42" s="53">
        <f>IF(Table13[[#This Row],[Double 2023]]&lt;4000,4000,0)</f>
        <v>0</v>
      </c>
      <c r="X42" s="4">
        <f>MAX(Table13[[#This Row],[Double 2023]:[Min 4K]])</f>
        <v>18564</v>
      </c>
      <c r="Y42" s="96">
        <f>IF(Table13[[#This Row],[Max of goals]]&gt;15000,15000,Table13[[#This Row],[Max of goals]])</f>
        <v>15000</v>
      </c>
    </row>
    <row r="43" spans="1:25" x14ac:dyDescent="0.25">
      <c r="A43" t="s">
        <v>268</v>
      </c>
      <c r="B43" t="s">
        <v>65</v>
      </c>
      <c r="C43" t="s">
        <v>71</v>
      </c>
      <c r="D43" t="s">
        <v>104</v>
      </c>
      <c r="E43" s="53">
        <v>49</v>
      </c>
      <c r="F43">
        <v>39</v>
      </c>
      <c r="G43" s="53"/>
      <c r="H43" s="53">
        <v>36</v>
      </c>
      <c r="I43" s="53">
        <v>26</v>
      </c>
      <c r="J43" s="53">
        <v>44</v>
      </c>
      <c r="K43" s="53">
        <v>37</v>
      </c>
      <c r="L43" s="53">
        <v>19</v>
      </c>
      <c r="M43" s="53">
        <f>Table13[[#This Row],[12/31/2023]]+1</f>
        <v>45</v>
      </c>
      <c r="N43" s="53">
        <f>Table13[[#This Row],[Recruited 23]]+1</f>
        <v>20</v>
      </c>
      <c r="O43" s="53">
        <f>IF(Table13[[#This Row],[Unit Type]]="Pack",10,12)</f>
        <v>10</v>
      </c>
      <c r="P43" s="53">
        <f>MAX(Table13[[#This Row],[Pack Recruit Goal]:[Min Recruit Goal]])</f>
        <v>20</v>
      </c>
      <c r="Q43" s="53">
        <f>IF(Table13[[#This Row],[Unit Type]]="Pack",Table13[[#This Row],[Pack Recruit Growth Goal]],IF(Table13[[#This Row],[Troop Growth Goal]]&gt;11,Table13[[#This Row],[Troop Growth Goal]],Table13[[#This Row],[Min Recruit Goal]]))</f>
        <v>20</v>
      </c>
      <c r="R43" s="53">
        <f>Table13[[#This Row],[End Goal]]-Table13[[#This Row],[6/30/2023]]</f>
        <v>-6</v>
      </c>
      <c r="S43" s="4">
        <v>1374.65</v>
      </c>
      <c r="T43" s="4">
        <v>1345</v>
      </c>
      <c r="U43" s="4">
        <v>1830</v>
      </c>
      <c r="V43" s="4">
        <f>Table13[[#This Row],[2023 Sales]]*2</f>
        <v>3660</v>
      </c>
      <c r="W43" s="53">
        <f>IF(Table13[[#This Row],[Double 2023]]&lt;4000,4000,0)</f>
        <v>4000</v>
      </c>
      <c r="X43" s="4">
        <f>MAX(Table13[[#This Row],[Double 2023]:[Min 4K]])</f>
        <v>4000</v>
      </c>
      <c r="Y43" s="96">
        <f>IF(Table13[[#This Row],[Max of goals]]&gt;15000,15000,Table13[[#This Row],[Max of goals]])</f>
        <v>4000</v>
      </c>
    </row>
    <row r="44" spans="1:25" x14ac:dyDescent="0.25">
      <c r="A44" t="s">
        <v>269</v>
      </c>
      <c r="B44" t="s">
        <v>65</v>
      </c>
      <c r="C44" t="s">
        <v>71</v>
      </c>
      <c r="D44" t="s">
        <v>105</v>
      </c>
      <c r="E44" s="53">
        <v>55</v>
      </c>
      <c r="F44">
        <v>32</v>
      </c>
      <c r="G44" s="53"/>
      <c r="H44" s="53">
        <v>45</v>
      </c>
      <c r="I44" s="53">
        <v>29</v>
      </c>
      <c r="J44" s="53">
        <v>47</v>
      </c>
      <c r="K44" s="53">
        <v>26</v>
      </c>
      <c r="L44" s="53">
        <v>18</v>
      </c>
      <c r="M44" s="53">
        <f>Table13[[#This Row],[12/31/2023]]+1</f>
        <v>48</v>
      </c>
      <c r="N44" s="53">
        <f>Table13[[#This Row],[Recruited 23]]+1</f>
        <v>19</v>
      </c>
      <c r="O44" s="53">
        <f>IF(Table13[[#This Row],[Unit Type]]="Pack",10,12)</f>
        <v>10</v>
      </c>
      <c r="P44" s="53">
        <f>MAX(Table13[[#This Row],[Pack Recruit Goal]:[Min Recruit Goal]])</f>
        <v>19</v>
      </c>
      <c r="Q44" s="53">
        <f>IF(Table13[[#This Row],[Unit Type]]="Pack",Table13[[#This Row],[Pack Recruit Growth Goal]],IF(Table13[[#This Row],[Troop Growth Goal]]&gt;11,Table13[[#This Row],[Troop Growth Goal]],Table13[[#This Row],[Min Recruit Goal]]))</f>
        <v>19</v>
      </c>
      <c r="R44" s="53">
        <f>Table13[[#This Row],[End Goal]]-Table13[[#This Row],[6/30/2023]]</f>
        <v>-10</v>
      </c>
      <c r="S44" s="4">
        <v>8574.4</v>
      </c>
      <c r="T44" s="4">
        <v>9955</v>
      </c>
      <c r="U44" s="4">
        <v>7986</v>
      </c>
      <c r="V44" s="4">
        <f>Table13[[#This Row],[2023 Sales]]*2</f>
        <v>15972</v>
      </c>
      <c r="W44" s="53">
        <f>IF(Table13[[#This Row],[Double 2023]]&lt;4000,4000,0)</f>
        <v>0</v>
      </c>
      <c r="X44" s="4">
        <f>MAX(Table13[[#This Row],[Double 2023]:[Min 4K]])</f>
        <v>15972</v>
      </c>
      <c r="Y44" s="96">
        <f>IF(Table13[[#This Row],[Max of goals]]&gt;15000,15000,Table13[[#This Row],[Max of goals]])</f>
        <v>15000</v>
      </c>
    </row>
    <row r="45" spans="1:25" x14ac:dyDescent="0.25">
      <c r="A45" t="s">
        <v>270</v>
      </c>
      <c r="B45" t="s">
        <v>68</v>
      </c>
      <c r="C45" t="s">
        <v>71</v>
      </c>
      <c r="D45" t="s">
        <v>106</v>
      </c>
      <c r="E45" s="53">
        <v>16</v>
      </c>
      <c r="F45">
        <v>8</v>
      </c>
      <c r="G45" s="53"/>
      <c r="H45" s="53">
        <v>10</v>
      </c>
      <c r="I45" s="53"/>
      <c r="J45" s="53">
        <v>0</v>
      </c>
      <c r="K45" s="53">
        <v>0</v>
      </c>
      <c r="L45" s="53">
        <v>0</v>
      </c>
      <c r="M45" s="53">
        <f>Table13[[#This Row],[12/31/2023]]+1</f>
        <v>1</v>
      </c>
      <c r="N45" s="53">
        <f>Table13[[#This Row],[Recruited 23]]+1</f>
        <v>1</v>
      </c>
      <c r="O45" s="53">
        <f>IF(Table13[[#This Row],[Unit Type]]="Pack",10,12)</f>
        <v>10</v>
      </c>
      <c r="P45" s="53">
        <f>MAX(Table13[[#This Row],[Pack Recruit Goal]:[Min Recruit Goal]])</f>
        <v>10</v>
      </c>
      <c r="Q45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45" s="53">
        <f>Table13[[#This Row],[End Goal]]-Table13[[#This Row],[6/30/2023]]</f>
        <v>10</v>
      </c>
      <c r="S45" s="4">
        <v>290</v>
      </c>
      <c r="T45" s="4">
        <v>0</v>
      </c>
      <c r="V45" s="4">
        <f>Table13[[#This Row],[2023 Sales]]*2</f>
        <v>0</v>
      </c>
      <c r="W45" s="53">
        <f>IF(Table13[[#This Row],[Double 2023]]&lt;4000,4000,0)</f>
        <v>4000</v>
      </c>
      <c r="X45" s="4">
        <f>MAX(Table13[[#This Row],[Double 2023]:[Min 4K]])</f>
        <v>4000</v>
      </c>
      <c r="Y45" s="96">
        <f>IF(Table13[[#This Row],[Max of goals]]&gt;15000,15000,Table13[[#This Row],[Max of goals]])</f>
        <v>4000</v>
      </c>
    </row>
    <row r="46" spans="1:25" x14ac:dyDescent="0.25">
      <c r="A46" t="s">
        <v>271</v>
      </c>
      <c r="B46" t="s">
        <v>68</v>
      </c>
      <c r="C46" t="s">
        <v>71</v>
      </c>
      <c r="D46" t="s">
        <v>107</v>
      </c>
      <c r="E46" s="53">
        <v>41</v>
      </c>
      <c r="F46">
        <v>28</v>
      </c>
      <c r="G46" s="53"/>
      <c r="H46" s="53">
        <v>24</v>
      </c>
      <c r="I46" s="53">
        <v>12</v>
      </c>
      <c r="J46" s="53">
        <v>20</v>
      </c>
      <c r="K46" s="53">
        <v>14</v>
      </c>
      <c r="L46" s="53">
        <v>8</v>
      </c>
      <c r="M46" s="53">
        <f>Table13[[#This Row],[12/31/2023]]+1</f>
        <v>21</v>
      </c>
      <c r="N46" s="53">
        <f>Table13[[#This Row],[Recruited 23]]+1</f>
        <v>9</v>
      </c>
      <c r="O46" s="53">
        <f>IF(Table13[[#This Row],[Unit Type]]="Pack",10,12)</f>
        <v>10</v>
      </c>
      <c r="P46" s="53">
        <f>MAX(Table13[[#This Row],[Pack Recruit Goal]:[Min Recruit Goal]])</f>
        <v>10</v>
      </c>
      <c r="Q46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46" s="53">
        <f>Table13[[#This Row],[End Goal]]-Table13[[#This Row],[6/30/2023]]</f>
        <v>-2</v>
      </c>
      <c r="S46" s="4">
        <v>12020.21</v>
      </c>
      <c r="T46" s="4">
        <v>4448.9799999999996</v>
      </c>
      <c r="U46" s="4">
        <v>4741</v>
      </c>
      <c r="V46" s="4">
        <f>Table13[[#This Row],[2023 Sales]]*2</f>
        <v>9482</v>
      </c>
      <c r="W46" s="53">
        <f>IF(Table13[[#This Row],[Double 2023]]&lt;4000,4000,0)</f>
        <v>0</v>
      </c>
      <c r="X46" s="4">
        <f>MAX(Table13[[#This Row],[Double 2023]:[Min 4K]])</f>
        <v>9482</v>
      </c>
      <c r="Y46" s="96">
        <f>IF(Table13[[#This Row],[Max of goals]]&gt;15000,15000,Table13[[#This Row],[Max of goals]])</f>
        <v>9482</v>
      </c>
    </row>
    <row r="47" spans="1:25" x14ac:dyDescent="0.25">
      <c r="A47" t="s">
        <v>272</v>
      </c>
      <c r="B47" t="s">
        <v>68</v>
      </c>
      <c r="C47" t="s">
        <v>71</v>
      </c>
      <c r="D47" t="s">
        <v>108</v>
      </c>
      <c r="E47" s="53">
        <v>17</v>
      </c>
      <c r="F47">
        <v>10</v>
      </c>
      <c r="G47" s="53"/>
      <c r="H47" s="53">
        <v>10</v>
      </c>
      <c r="I47" s="53">
        <v>3</v>
      </c>
      <c r="J47" s="53">
        <v>3</v>
      </c>
      <c r="K47" s="53">
        <v>0</v>
      </c>
      <c r="L47" s="53">
        <v>0</v>
      </c>
      <c r="M47" s="53">
        <f>Table13[[#This Row],[12/31/2023]]+1</f>
        <v>4</v>
      </c>
      <c r="N47" s="53">
        <f>Table13[[#This Row],[Recruited 23]]+1</f>
        <v>1</v>
      </c>
      <c r="O47" s="53">
        <f>IF(Table13[[#This Row],[Unit Type]]="Pack",10,12)</f>
        <v>10</v>
      </c>
      <c r="P47" s="53">
        <f>MAX(Table13[[#This Row],[Pack Recruit Goal]:[Min Recruit Goal]])</f>
        <v>10</v>
      </c>
      <c r="Q47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47" s="53">
        <f>Table13[[#This Row],[End Goal]]-Table13[[#This Row],[6/30/2023]]</f>
        <v>7</v>
      </c>
      <c r="S47" s="4">
        <v>0</v>
      </c>
      <c r="T47" s="4">
        <v>0</v>
      </c>
      <c r="V47" s="4">
        <f>Table13[[#This Row],[2023 Sales]]*2</f>
        <v>0</v>
      </c>
      <c r="W47" s="53">
        <f>IF(Table13[[#This Row],[Double 2023]]&lt;4000,4000,0)</f>
        <v>4000</v>
      </c>
      <c r="X47" s="4">
        <f>MAX(Table13[[#This Row],[Double 2023]:[Min 4K]])</f>
        <v>4000</v>
      </c>
      <c r="Y47" s="96">
        <f>IF(Table13[[#This Row],[Max of goals]]&gt;15000,15000,Table13[[#This Row],[Max of goals]])</f>
        <v>4000</v>
      </c>
    </row>
    <row r="48" spans="1:25" x14ac:dyDescent="0.25">
      <c r="A48" t="s">
        <v>366</v>
      </c>
      <c r="B48" t="s">
        <v>62</v>
      </c>
      <c r="C48" t="s">
        <v>71</v>
      </c>
      <c r="D48" t="s">
        <v>367</v>
      </c>
      <c r="E48" s="53"/>
      <c r="F48" s="53"/>
      <c r="G48" s="53"/>
      <c r="H48" s="53"/>
      <c r="I48" s="53"/>
      <c r="J48" s="53">
        <v>12</v>
      </c>
      <c r="K48" s="53">
        <v>17</v>
      </c>
      <c r="L48" s="53">
        <v>0</v>
      </c>
      <c r="M48" s="53">
        <f>Table13[[#This Row],[12/31/2023]]+1</f>
        <v>13</v>
      </c>
      <c r="N48" s="53">
        <f>Table13[[#This Row],[Recruited 23]]+1</f>
        <v>1</v>
      </c>
      <c r="O48" s="53">
        <f>IF(Table13[[#This Row],[Unit Type]]="Pack",10,12)</f>
        <v>10</v>
      </c>
      <c r="P48" s="53">
        <f>MAX(Table13[[#This Row],[Pack Recruit Goal]:[Min Recruit Goal]])</f>
        <v>10</v>
      </c>
      <c r="Q48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48" s="53">
        <f>Table13[[#This Row],[End Goal]]-Table13[[#This Row],[6/30/2023]]</f>
        <v>10</v>
      </c>
      <c r="V48" s="4">
        <f>Table13[[#This Row],[2023 Sales]]*2</f>
        <v>0</v>
      </c>
      <c r="W48" s="53">
        <f>IF(Table13[[#This Row],[Double 2023]]&lt;4000,4000,0)</f>
        <v>4000</v>
      </c>
      <c r="X48" s="4">
        <f>MAX(Table13[[#This Row],[Double 2023]:[Min 4K]])</f>
        <v>4000</v>
      </c>
      <c r="Y48" s="96">
        <f>IF(Table13[[#This Row],[Max of goals]]&gt;15000,15000,Table13[[#This Row],[Max of goals]])</f>
        <v>4000</v>
      </c>
    </row>
    <row r="49" spans="1:25" x14ac:dyDescent="0.25">
      <c r="A49" t="s">
        <v>273</v>
      </c>
      <c r="B49" t="s">
        <v>62</v>
      </c>
      <c r="C49" t="s">
        <v>71</v>
      </c>
      <c r="D49" t="s">
        <v>109</v>
      </c>
      <c r="E49" s="53">
        <v>23</v>
      </c>
      <c r="F49">
        <v>12</v>
      </c>
      <c r="G49" s="53"/>
      <c r="H49" s="53">
        <v>17</v>
      </c>
      <c r="I49" s="53">
        <v>15</v>
      </c>
      <c r="J49" s="53">
        <v>25</v>
      </c>
      <c r="K49" s="53">
        <v>18</v>
      </c>
      <c r="L49" s="53">
        <v>10</v>
      </c>
      <c r="M49" s="53">
        <f>Table13[[#This Row],[12/31/2023]]+1</f>
        <v>26</v>
      </c>
      <c r="N49" s="53">
        <f>Table13[[#This Row],[Recruited 23]]+1</f>
        <v>11</v>
      </c>
      <c r="O49" s="53">
        <f>IF(Table13[[#This Row],[Unit Type]]="Pack",10,12)</f>
        <v>10</v>
      </c>
      <c r="P49" s="53">
        <f>MAX(Table13[[#This Row],[Pack Recruit Goal]:[Min Recruit Goal]])</f>
        <v>11</v>
      </c>
      <c r="Q49" s="53">
        <f>IF(Table13[[#This Row],[Unit Type]]="Pack",Table13[[#This Row],[Pack Recruit Growth Goal]],IF(Table13[[#This Row],[Troop Growth Goal]]&gt;11,Table13[[#This Row],[Troop Growth Goal]],Table13[[#This Row],[Min Recruit Goal]]))</f>
        <v>11</v>
      </c>
      <c r="R49" s="53">
        <f>Table13[[#This Row],[End Goal]]-Table13[[#This Row],[6/30/2023]]</f>
        <v>-4</v>
      </c>
      <c r="S49" s="4">
        <v>5189.7299999999996</v>
      </c>
      <c r="T49" s="4">
        <v>12464</v>
      </c>
      <c r="U49" s="4">
        <v>13619</v>
      </c>
      <c r="V49" s="4">
        <f>Table13[[#This Row],[2023 Sales]]*2</f>
        <v>27238</v>
      </c>
      <c r="W49" s="53">
        <f>IF(Table13[[#This Row],[Double 2023]]&lt;4000,4000,0)</f>
        <v>0</v>
      </c>
      <c r="X49" s="4">
        <f>MAX(Table13[[#This Row],[Double 2023]:[Min 4K]])</f>
        <v>27238</v>
      </c>
      <c r="Y49" s="96">
        <f>IF(Table13[[#This Row],[Max of goals]]&gt;15000,15000,Table13[[#This Row],[Max of goals]])</f>
        <v>15000</v>
      </c>
    </row>
    <row r="50" spans="1:25" x14ac:dyDescent="0.25">
      <c r="A50" t="s">
        <v>274</v>
      </c>
      <c r="B50" t="s">
        <v>62</v>
      </c>
      <c r="C50" t="s">
        <v>71</v>
      </c>
      <c r="D50" t="s">
        <v>110</v>
      </c>
      <c r="E50" s="53">
        <v>60</v>
      </c>
      <c r="F50">
        <v>29</v>
      </c>
      <c r="G50" s="53"/>
      <c r="H50" s="53">
        <v>33</v>
      </c>
      <c r="I50" s="53">
        <v>23</v>
      </c>
      <c r="J50" s="53">
        <v>27</v>
      </c>
      <c r="K50" s="53">
        <v>17</v>
      </c>
      <c r="L50" s="53">
        <v>3</v>
      </c>
      <c r="M50" s="53">
        <f>Table13[[#This Row],[12/31/2023]]+1</f>
        <v>28</v>
      </c>
      <c r="N50" s="53">
        <f>Table13[[#This Row],[Recruited 23]]+1</f>
        <v>4</v>
      </c>
      <c r="O50" s="53">
        <f>IF(Table13[[#This Row],[Unit Type]]="Pack",10,12)</f>
        <v>10</v>
      </c>
      <c r="P50" s="53">
        <f>MAX(Table13[[#This Row],[Pack Recruit Goal]:[Min Recruit Goal]])</f>
        <v>10</v>
      </c>
      <c r="Q50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0" s="53">
        <f>Table13[[#This Row],[End Goal]]-Table13[[#This Row],[6/30/2023]]</f>
        <v>-13</v>
      </c>
      <c r="S50" s="4">
        <v>1045.73</v>
      </c>
      <c r="T50" s="4">
        <v>131</v>
      </c>
      <c r="V50" s="4">
        <f>Table13[[#This Row],[2023 Sales]]*2</f>
        <v>0</v>
      </c>
      <c r="W50" s="53">
        <f>IF(Table13[[#This Row],[Double 2023]]&lt;4000,4000,0)</f>
        <v>4000</v>
      </c>
      <c r="X50" s="4">
        <f>MAX(Table13[[#This Row],[Double 2023]:[Min 4K]])</f>
        <v>4000</v>
      </c>
      <c r="Y50" s="96">
        <f>IF(Table13[[#This Row],[Max of goals]]&gt;15000,15000,Table13[[#This Row],[Max of goals]])</f>
        <v>4000</v>
      </c>
    </row>
    <row r="51" spans="1:25" x14ac:dyDescent="0.25">
      <c r="A51" t="s">
        <v>275</v>
      </c>
      <c r="B51" t="s">
        <v>62</v>
      </c>
      <c r="C51" t="s">
        <v>71</v>
      </c>
      <c r="D51" t="s">
        <v>111</v>
      </c>
      <c r="E51" s="53">
        <v>75</v>
      </c>
      <c r="F51">
        <v>57</v>
      </c>
      <c r="G51" s="53"/>
      <c r="H51" s="53">
        <v>66</v>
      </c>
      <c r="I51" s="53">
        <v>52</v>
      </c>
      <c r="J51" s="53">
        <v>78</v>
      </c>
      <c r="K51" s="53">
        <v>66</v>
      </c>
      <c r="L51" s="53">
        <v>26</v>
      </c>
      <c r="M51" s="53">
        <f>Table13[[#This Row],[12/31/2023]]+1</f>
        <v>79</v>
      </c>
      <c r="N51" s="53">
        <f>Table13[[#This Row],[Recruited 23]]+1</f>
        <v>27</v>
      </c>
      <c r="O51" s="53">
        <f>IF(Table13[[#This Row],[Unit Type]]="Pack",10,12)</f>
        <v>10</v>
      </c>
      <c r="P51" s="53">
        <f>MAX(Table13[[#This Row],[Pack Recruit Goal]:[Min Recruit Goal]])</f>
        <v>27</v>
      </c>
      <c r="Q51" s="53">
        <f>IF(Table13[[#This Row],[Unit Type]]="Pack",Table13[[#This Row],[Pack Recruit Growth Goal]],IF(Table13[[#This Row],[Troop Growth Goal]]&gt;11,Table13[[#This Row],[Troop Growth Goal]],Table13[[#This Row],[Min Recruit Goal]]))</f>
        <v>27</v>
      </c>
      <c r="R51" s="53">
        <f>Table13[[#This Row],[End Goal]]-Table13[[#This Row],[6/30/2023]]</f>
        <v>-25</v>
      </c>
      <c r="S51" s="4">
        <v>56206.96</v>
      </c>
      <c r="T51" s="4">
        <v>42485</v>
      </c>
      <c r="U51" s="4">
        <v>44259</v>
      </c>
      <c r="V51" s="4">
        <f>Table13[[#This Row],[2023 Sales]]*2</f>
        <v>88518</v>
      </c>
      <c r="W51" s="53">
        <f>IF(Table13[[#This Row],[Double 2023]]&lt;4000,4000,0)</f>
        <v>0</v>
      </c>
      <c r="X51" s="4">
        <f>MAX(Table13[[#This Row],[Double 2023]:[Min 4K]])</f>
        <v>88518</v>
      </c>
      <c r="Y51" s="96">
        <f>IF(Table13[[#This Row],[Max of goals]]&gt;15000,15000,Table13[[#This Row],[Max of goals]])</f>
        <v>15000</v>
      </c>
    </row>
    <row r="52" spans="1:25" x14ac:dyDescent="0.25">
      <c r="A52" t="s">
        <v>276</v>
      </c>
      <c r="B52" t="s">
        <v>62</v>
      </c>
      <c r="C52" t="s">
        <v>71</v>
      </c>
      <c r="D52" t="s">
        <v>112</v>
      </c>
      <c r="E52" s="53">
        <v>19</v>
      </c>
      <c r="F52">
        <v>9</v>
      </c>
      <c r="G52" s="53"/>
      <c r="H52" s="53">
        <v>16</v>
      </c>
      <c r="I52" s="53">
        <v>13</v>
      </c>
      <c r="J52" s="53">
        <v>15</v>
      </c>
      <c r="K52" s="53">
        <v>10</v>
      </c>
      <c r="L52" s="53">
        <v>4</v>
      </c>
      <c r="M52" s="53">
        <f>Table13[[#This Row],[12/31/2023]]+1</f>
        <v>16</v>
      </c>
      <c r="N52" s="53">
        <f>Table13[[#This Row],[Recruited 23]]+1</f>
        <v>5</v>
      </c>
      <c r="O52" s="53">
        <f>IF(Table13[[#This Row],[Unit Type]]="Pack",10,12)</f>
        <v>10</v>
      </c>
      <c r="P52" s="53">
        <f>MAX(Table13[[#This Row],[Pack Recruit Goal]:[Min Recruit Goal]])</f>
        <v>10</v>
      </c>
      <c r="Q52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2" s="53">
        <f>Table13[[#This Row],[End Goal]]-Table13[[#This Row],[6/30/2023]]</f>
        <v>-3</v>
      </c>
      <c r="S52" s="4">
        <v>105</v>
      </c>
      <c r="T52" s="4">
        <v>0</v>
      </c>
      <c r="V52" s="4">
        <f>Table13[[#This Row],[2023 Sales]]*2</f>
        <v>0</v>
      </c>
      <c r="W52" s="53">
        <f>IF(Table13[[#This Row],[Double 2023]]&lt;4000,4000,0)</f>
        <v>4000</v>
      </c>
      <c r="X52" s="4">
        <f>MAX(Table13[[#This Row],[Double 2023]:[Min 4K]])</f>
        <v>4000</v>
      </c>
      <c r="Y52" s="96">
        <f>IF(Table13[[#This Row],[Max of goals]]&gt;15000,15000,Table13[[#This Row],[Max of goals]])</f>
        <v>4000</v>
      </c>
    </row>
    <row r="53" spans="1:25" x14ac:dyDescent="0.25">
      <c r="A53" t="s">
        <v>277</v>
      </c>
      <c r="B53" t="s">
        <v>62</v>
      </c>
      <c r="C53" t="s">
        <v>71</v>
      </c>
      <c r="D53" t="s">
        <v>113</v>
      </c>
      <c r="E53" s="53">
        <v>32</v>
      </c>
      <c r="F53">
        <v>22</v>
      </c>
      <c r="G53" s="53"/>
      <c r="H53" s="53">
        <v>38</v>
      </c>
      <c r="I53" s="53">
        <v>25</v>
      </c>
      <c r="J53" s="53">
        <v>32</v>
      </c>
      <c r="K53" s="53">
        <v>26</v>
      </c>
      <c r="L53" s="53">
        <v>7</v>
      </c>
      <c r="M53" s="53">
        <f>Table13[[#This Row],[12/31/2023]]+1</f>
        <v>33</v>
      </c>
      <c r="N53" s="53">
        <f>Table13[[#This Row],[Recruited 23]]+1</f>
        <v>8</v>
      </c>
      <c r="O53" s="53">
        <f>IF(Table13[[#This Row],[Unit Type]]="Pack",10,12)</f>
        <v>10</v>
      </c>
      <c r="P53" s="53">
        <f>MAX(Table13[[#This Row],[Pack Recruit Goal]:[Min Recruit Goal]])</f>
        <v>10</v>
      </c>
      <c r="Q53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3" s="53">
        <f>Table13[[#This Row],[End Goal]]-Table13[[#This Row],[6/30/2023]]</f>
        <v>-15</v>
      </c>
      <c r="S53" s="4">
        <v>14535.34</v>
      </c>
      <c r="T53" s="4">
        <v>16920.98</v>
      </c>
      <c r="U53" s="4">
        <v>31824</v>
      </c>
      <c r="V53" s="4">
        <f>Table13[[#This Row],[2023 Sales]]*2</f>
        <v>63648</v>
      </c>
      <c r="W53" s="53">
        <f>IF(Table13[[#This Row],[Double 2023]]&lt;4000,4000,0)</f>
        <v>0</v>
      </c>
      <c r="X53" s="4">
        <f>MAX(Table13[[#This Row],[Double 2023]:[Min 4K]])</f>
        <v>63648</v>
      </c>
      <c r="Y53" s="96">
        <f>IF(Table13[[#This Row],[Max of goals]]&gt;15000,15000,Table13[[#This Row],[Max of goals]])</f>
        <v>15000</v>
      </c>
    </row>
    <row r="54" spans="1:25" x14ac:dyDescent="0.25">
      <c r="A54" t="s">
        <v>278</v>
      </c>
      <c r="B54" t="s">
        <v>62</v>
      </c>
      <c r="C54" t="s">
        <v>71</v>
      </c>
      <c r="D54" t="s">
        <v>114</v>
      </c>
      <c r="E54" s="53">
        <v>26</v>
      </c>
      <c r="F54">
        <v>17</v>
      </c>
      <c r="G54" s="53"/>
      <c r="H54" s="53">
        <v>26</v>
      </c>
      <c r="I54" s="53">
        <v>20</v>
      </c>
      <c r="J54" s="53">
        <v>27</v>
      </c>
      <c r="K54" s="53">
        <v>18</v>
      </c>
      <c r="L54" s="53">
        <v>5</v>
      </c>
      <c r="M54" s="53">
        <f>Table13[[#This Row],[12/31/2023]]+1</f>
        <v>28</v>
      </c>
      <c r="N54" s="53">
        <f>Table13[[#This Row],[Recruited 23]]+1</f>
        <v>6</v>
      </c>
      <c r="O54" s="53">
        <f>IF(Table13[[#This Row],[Unit Type]]="Pack",10,12)</f>
        <v>10</v>
      </c>
      <c r="P54" s="53">
        <f>MAX(Table13[[#This Row],[Pack Recruit Goal]:[Min Recruit Goal]])</f>
        <v>10</v>
      </c>
      <c r="Q54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4" s="53">
        <f>Table13[[#This Row],[End Goal]]-Table13[[#This Row],[6/30/2023]]</f>
        <v>-10</v>
      </c>
      <c r="S54" s="4">
        <v>16514.12</v>
      </c>
      <c r="T54" s="4">
        <v>13475</v>
      </c>
      <c r="U54" s="4">
        <v>13032</v>
      </c>
      <c r="V54" s="4">
        <f>Table13[[#This Row],[2023 Sales]]*2</f>
        <v>26064</v>
      </c>
      <c r="W54" s="53">
        <f>IF(Table13[[#This Row],[Double 2023]]&lt;4000,4000,0)</f>
        <v>0</v>
      </c>
      <c r="X54" s="4">
        <f>MAX(Table13[[#This Row],[Double 2023]:[Min 4K]])</f>
        <v>26064</v>
      </c>
      <c r="Y54" s="96">
        <f>IF(Table13[[#This Row],[Max of goals]]&gt;15000,15000,Table13[[#This Row],[Max of goals]])</f>
        <v>15000</v>
      </c>
    </row>
    <row r="55" spans="1:25" x14ac:dyDescent="0.25">
      <c r="A55" t="s">
        <v>279</v>
      </c>
      <c r="B55" t="s">
        <v>68</v>
      </c>
      <c r="C55" t="s">
        <v>71</v>
      </c>
      <c r="D55" t="s">
        <v>115</v>
      </c>
      <c r="E55" s="53">
        <v>12</v>
      </c>
      <c r="F55">
        <v>7</v>
      </c>
      <c r="G55" s="53"/>
      <c r="H55" s="53">
        <v>8</v>
      </c>
      <c r="I55" s="53"/>
      <c r="J55" s="53">
        <v>0</v>
      </c>
      <c r="K55" s="53">
        <v>0</v>
      </c>
      <c r="L55" s="53">
        <v>0</v>
      </c>
      <c r="M55" s="53">
        <f>Table13[[#This Row],[12/31/2023]]+1</f>
        <v>1</v>
      </c>
      <c r="N55" s="53">
        <f>Table13[[#This Row],[Recruited 23]]+1</f>
        <v>1</v>
      </c>
      <c r="O55" s="53">
        <f>IF(Table13[[#This Row],[Unit Type]]="Pack",10,12)</f>
        <v>10</v>
      </c>
      <c r="P55" s="53">
        <f>MAX(Table13[[#This Row],[Pack Recruit Goal]:[Min Recruit Goal]])</f>
        <v>10</v>
      </c>
      <c r="Q55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5" s="53">
        <f>Table13[[#This Row],[End Goal]]-Table13[[#This Row],[6/30/2023]]</f>
        <v>10</v>
      </c>
      <c r="S55" s="4">
        <v>104.98</v>
      </c>
      <c r="T55" s="4">
        <v>0</v>
      </c>
      <c r="V55" s="4">
        <f>Table13[[#This Row],[2023 Sales]]*2</f>
        <v>0</v>
      </c>
      <c r="W55" s="53">
        <f>IF(Table13[[#This Row],[Double 2023]]&lt;4000,4000,0)</f>
        <v>4000</v>
      </c>
      <c r="X55" s="4">
        <f>MAX(Table13[[#This Row],[Double 2023]:[Min 4K]])</f>
        <v>4000</v>
      </c>
      <c r="Y55" s="96">
        <f>IF(Table13[[#This Row],[Max of goals]]&gt;15000,15000,Table13[[#This Row],[Max of goals]])</f>
        <v>4000</v>
      </c>
    </row>
    <row r="56" spans="1:25" x14ac:dyDescent="0.25">
      <c r="A56" t="s">
        <v>280</v>
      </c>
      <c r="B56" t="s">
        <v>68</v>
      </c>
      <c r="C56" t="s">
        <v>71</v>
      </c>
      <c r="D56" t="s">
        <v>116</v>
      </c>
      <c r="E56" s="53">
        <v>15</v>
      </c>
      <c r="F56">
        <v>5</v>
      </c>
      <c r="G56" s="53"/>
      <c r="H56" s="53">
        <v>24</v>
      </c>
      <c r="I56" s="53">
        <v>17</v>
      </c>
      <c r="J56" s="53">
        <v>20</v>
      </c>
      <c r="K56" s="53">
        <v>7</v>
      </c>
      <c r="L56" s="53">
        <v>4</v>
      </c>
      <c r="M56" s="53">
        <f>Table13[[#This Row],[12/31/2023]]+1</f>
        <v>21</v>
      </c>
      <c r="N56" s="53">
        <f>Table13[[#This Row],[Recruited 23]]+1</f>
        <v>5</v>
      </c>
      <c r="O56" s="53">
        <f>IF(Table13[[#This Row],[Unit Type]]="Pack",10,12)</f>
        <v>10</v>
      </c>
      <c r="P56" s="53">
        <f>MAX(Table13[[#This Row],[Pack Recruit Goal]:[Min Recruit Goal]])</f>
        <v>10</v>
      </c>
      <c r="Q56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6" s="53">
        <f>Table13[[#This Row],[End Goal]]-Table13[[#This Row],[6/30/2023]]</f>
        <v>-7</v>
      </c>
      <c r="S56" s="4">
        <v>0</v>
      </c>
      <c r="T56" s="4">
        <v>12063</v>
      </c>
      <c r="U56" s="4">
        <v>12986</v>
      </c>
      <c r="V56" s="4">
        <f>Table13[[#This Row],[2023 Sales]]*2</f>
        <v>25972</v>
      </c>
      <c r="W56" s="53">
        <f>IF(Table13[[#This Row],[Double 2023]]&lt;4000,4000,0)</f>
        <v>0</v>
      </c>
      <c r="X56" s="4">
        <f>MAX(Table13[[#This Row],[Double 2023]:[Min 4K]])</f>
        <v>25972</v>
      </c>
      <c r="Y56" s="96">
        <f>IF(Table13[[#This Row],[Max of goals]]&gt;15000,15000,Table13[[#This Row],[Max of goals]])</f>
        <v>15000</v>
      </c>
    </row>
    <row r="57" spans="1:25" x14ac:dyDescent="0.25">
      <c r="A57" t="s">
        <v>281</v>
      </c>
      <c r="B57" t="s">
        <v>58</v>
      </c>
      <c r="C57" t="s">
        <v>71</v>
      </c>
      <c r="D57" t="s">
        <v>117</v>
      </c>
      <c r="E57" s="53">
        <v>22</v>
      </c>
      <c r="F57">
        <v>10</v>
      </c>
      <c r="G57" s="53"/>
      <c r="H57" s="53">
        <v>10</v>
      </c>
      <c r="I57" s="53">
        <v>6</v>
      </c>
      <c r="J57" s="53">
        <v>5</v>
      </c>
      <c r="K57" s="53">
        <v>0</v>
      </c>
      <c r="L57" s="53">
        <v>0</v>
      </c>
      <c r="M57" s="53">
        <f>Table13[[#This Row],[12/31/2023]]+1</f>
        <v>6</v>
      </c>
      <c r="N57" s="53">
        <f>Table13[[#This Row],[Recruited 23]]+1</f>
        <v>1</v>
      </c>
      <c r="O57" s="53">
        <f>IF(Table13[[#This Row],[Unit Type]]="Pack",10,12)</f>
        <v>10</v>
      </c>
      <c r="P57" s="53">
        <f>MAX(Table13[[#This Row],[Pack Recruit Goal]:[Min Recruit Goal]])</f>
        <v>10</v>
      </c>
      <c r="Q57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7" s="53">
        <f>Table13[[#This Row],[End Goal]]-Table13[[#This Row],[6/30/2023]]</f>
        <v>4</v>
      </c>
      <c r="S57" s="4">
        <v>2555</v>
      </c>
      <c r="T57" s="4">
        <v>0</v>
      </c>
      <c r="V57" s="4">
        <f>Table13[[#This Row],[2023 Sales]]*2</f>
        <v>0</v>
      </c>
      <c r="W57" s="53">
        <f>IF(Table13[[#This Row],[Double 2023]]&lt;4000,4000,0)</f>
        <v>4000</v>
      </c>
      <c r="X57" s="4">
        <f>MAX(Table13[[#This Row],[Double 2023]:[Min 4K]])</f>
        <v>4000</v>
      </c>
      <c r="Y57" s="96">
        <f>IF(Table13[[#This Row],[Max of goals]]&gt;15000,15000,Table13[[#This Row],[Max of goals]])</f>
        <v>4000</v>
      </c>
    </row>
    <row r="58" spans="1:25" x14ac:dyDescent="0.25">
      <c r="A58" t="s">
        <v>282</v>
      </c>
      <c r="B58" t="s">
        <v>65</v>
      </c>
      <c r="C58" t="s">
        <v>71</v>
      </c>
      <c r="D58" t="s">
        <v>118</v>
      </c>
      <c r="E58" s="53">
        <v>14</v>
      </c>
      <c r="F58">
        <v>7</v>
      </c>
      <c r="G58" s="53"/>
      <c r="H58" s="53">
        <v>7</v>
      </c>
      <c r="I58" s="53">
        <v>3</v>
      </c>
      <c r="J58" s="53">
        <v>3</v>
      </c>
      <c r="K58" s="53">
        <v>3</v>
      </c>
      <c r="L58" s="53">
        <v>0</v>
      </c>
      <c r="M58" s="53">
        <f>Table13[[#This Row],[12/31/2023]]+1</f>
        <v>4</v>
      </c>
      <c r="N58" s="53">
        <f>Table13[[#This Row],[Recruited 23]]+1</f>
        <v>1</v>
      </c>
      <c r="O58" s="53">
        <f>IF(Table13[[#This Row],[Unit Type]]="Pack",10,12)</f>
        <v>10</v>
      </c>
      <c r="P58" s="53">
        <f>MAX(Table13[[#This Row],[Pack Recruit Goal]:[Min Recruit Goal]])</f>
        <v>10</v>
      </c>
      <c r="Q58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8" s="53">
        <f>Table13[[#This Row],[End Goal]]-Table13[[#This Row],[6/30/2023]]</f>
        <v>7</v>
      </c>
      <c r="S58" s="4">
        <v>4567.3100000000004</v>
      </c>
      <c r="T58" s="4">
        <v>9</v>
      </c>
      <c r="V58" s="4">
        <f>Table13[[#This Row],[2023 Sales]]*2</f>
        <v>0</v>
      </c>
      <c r="W58" s="53">
        <f>IF(Table13[[#This Row],[Double 2023]]&lt;4000,4000,0)</f>
        <v>4000</v>
      </c>
      <c r="X58" s="4">
        <f>MAX(Table13[[#This Row],[Double 2023]:[Min 4K]])</f>
        <v>4000</v>
      </c>
      <c r="Y58" s="96">
        <f>IF(Table13[[#This Row],[Max of goals]]&gt;15000,15000,Table13[[#This Row],[Max of goals]])</f>
        <v>4000</v>
      </c>
    </row>
    <row r="59" spans="1:25" x14ac:dyDescent="0.25">
      <c r="A59" t="s">
        <v>283</v>
      </c>
      <c r="B59" t="s">
        <v>68</v>
      </c>
      <c r="C59" t="s">
        <v>71</v>
      </c>
      <c r="D59" t="s">
        <v>119</v>
      </c>
      <c r="E59" s="53">
        <v>6</v>
      </c>
      <c r="F59">
        <v>5</v>
      </c>
      <c r="G59" s="53"/>
      <c r="H59" s="53">
        <v>4</v>
      </c>
      <c r="I59" s="53"/>
      <c r="J59" s="53">
        <v>0</v>
      </c>
      <c r="K59" s="53">
        <v>0</v>
      </c>
      <c r="L59" s="53">
        <v>0</v>
      </c>
      <c r="M59" s="53">
        <f>Table13[[#This Row],[12/31/2023]]+1</f>
        <v>1</v>
      </c>
      <c r="N59" s="53">
        <f>Table13[[#This Row],[Recruited 23]]+1</f>
        <v>1</v>
      </c>
      <c r="O59" s="53">
        <f>IF(Table13[[#This Row],[Unit Type]]="Pack",10,12)</f>
        <v>10</v>
      </c>
      <c r="P59" s="53">
        <f>MAX(Table13[[#This Row],[Pack Recruit Goal]:[Min Recruit Goal]])</f>
        <v>10</v>
      </c>
      <c r="Q59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59" s="53">
        <f>Table13[[#This Row],[End Goal]]-Table13[[#This Row],[6/30/2023]]</f>
        <v>10</v>
      </c>
      <c r="S59" s="4">
        <v>2172.77</v>
      </c>
      <c r="T59" s="4">
        <v>0</v>
      </c>
      <c r="V59" s="4">
        <f>Table13[[#This Row],[2023 Sales]]*2</f>
        <v>0</v>
      </c>
      <c r="W59" s="53">
        <f>IF(Table13[[#This Row],[Double 2023]]&lt;4000,4000,0)</f>
        <v>4000</v>
      </c>
      <c r="X59" s="4">
        <f>MAX(Table13[[#This Row],[Double 2023]:[Min 4K]])</f>
        <v>4000</v>
      </c>
      <c r="Y59" s="96">
        <f>IF(Table13[[#This Row],[Max of goals]]&gt;15000,15000,Table13[[#This Row],[Max of goals]])</f>
        <v>4000</v>
      </c>
    </row>
    <row r="60" spans="1:25" x14ac:dyDescent="0.25">
      <c r="A60" t="s">
        <v>284</v>
      </c>
      <c r="B60" t="s">
        <v>65</v>
      </c>
      <c r="C60" t="s">
        <v>71</v>
      </c>
      <c r="D60" t="s">
        <v>120</v>
      </c>
      <c r="E60" s="53">
        <v>23</v>
      </c>
      <c r="F60">
        <v>18</v>
      </c>
      <c r="G60" s="53"/>
      <c r="H60" s="53">
        <v>19</v>
      </c>
      <c r="I60" s="53">
        <v>11</v>
      </c>
      <c r="J60" s="53">
        <v>20</v>
      </c>
      <c r="K60" s="53">
        <v>15</v>
      </c>
      <c r="L60" s="53">
        <v>10</v>
      </c>
      <c r="M60" s="53">
        <f>Table13[[#This Row],[12/31/2023]]+1</f>
        <v>21</v>
      </c>
      <c r="N60" s="53">
        <f>Table13[[#This Row],[Recruited 23]]+1</f>
        <v>11</v>
      </c>
      <c r="O60" s="53">
        <f>IF(Table13[[#This Row],[Unit Type]]="Pack",10,12)</f>
        <v>10</v>
      </c>
      <c r="P60" s="53">
        <f>MAX(Table13[[#This Row],[Pack Recruit Goal]:[Min Recruit Goal]])</f>
        <v>11</v>
      </c>
      <c r="Q60" s="53">
        <f>IF(Table13[[#This Row],[Unit Type]]="Pack",Table13[[#This Row],[Pack Recruit Growth Goal]],IF(Table13[[#This Row],[Troop Growth Goal]]&gt;11,Table13[[#This Row],[Troop Growth Goal]],Table13[[#This Row],[Min Recruit Goal]]))</f>
        <v>11</v>
      </c>
      <c r="R60" s="53">
        <f>Table13[[#This Row],[End Goal]]-Table13[[#This Row],[6/30/2023]]</f>
        <v>0</v>
      </c>
      <c r="S60" s="4">
        <v>1094.94</v>
      </c>
      <c r="T60" s="4">
        <v>3079</v>
      </c>
      <c r="V60" s="4">
        <f>Table13[[#This Row],[2023 Sales]]*2</f>
        <v>0</v>
      </c>
      <c r="W60" s="53">
        <f>IF(Table13[[#This Row],[Double 2023]]&lt;4000,4000,0)</f>
        <v>4000</v>
      </c>
      <c r="X60" s="4">
        <f>MAX(Table13[[#This Row],[Double 2023]:[Min 4K]])</f>
        <v>4000</v>
      </c>
      <c r="Y60" s="96">
        <f>IF(Table13[[#This Row],[Max of goals]]&gt;15000,15000,Table13[[#This Row],[Max of goals]])</f>
        <v>4000</v>
      </c>
    </row>
    <row r="61" spans="1:25" x14ac:dyDescent="0.25">
      <c r="A61" t="s">
        <v>285</v>
      </c>
      <c r="B61" t="s">
        <v>68</v>
      </c>
      <c r="C61" t="s">
        <v>71</v>
      </c>
      <c r="D61" t="s">
        <v>121</v>
      </c>
      <c r="E61" s="53">
        <v>22</v>
      </c>
      <c r="F61">
        <v>20</v>
      </c>
      <c r="G61" s="53"/>
      <c r="H61" s="53">
        <v>26</v>
      </c>
      <c r="I61" s="53">
        <v>25</v>
      </c>
      <c r="J61" s="53">
        <v>31</v>
      </c>
      <c r="K61" s="53">
        <v>14</v>
      </c>
      <c r="L61" s="53">
        <v>7</v>
      </c>
      <c r="M61" s="53">
        <f>Table13[[#This Row],[12/31/2023]]+1</f>
        <v>32</v>
      </c>
      <c r="N61" s="53">
        <f>Table13[[#This Row],[Recruited 23]]+1</f>
        <v>8</v>
      </c>
      <c r="O61" s="53">
        <f>IF(Table13[[#This Row],[Unit Type]]="Pack",10,12)</f>
        <v>10</v>
      </c>
      <c r="P61" s="53">
        <f>MAX(Table13[[#This Row],[Pack Recruit Goal]:[Min Recruit Goal]])</f>
        <v>10</v>
      </c>
      <c r="Q61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61" s="53">
        <f>Table13[[#This Row],[End Goal]]-Table13[[#This Row],[6/30/2023]]</f>
        <v>-15</v>
      </c>
      <c r="S61" s="4">
        <v>544.83000000000004</v>
      </c>
      <c r="T61" s="4">
        <v>461</v>
      </c>
      <c r="V61" s="4">
        <f>Table13[[#This Row],[2023 Sales]]*2</f>
        <v>0</v>
      </c>
      <c r="W61" s="53">
        <f>IF(Table13[[#This Row],[Double 2023]]&lt;4000,4000,0)</f>
        <v>4000</v>
      </c>
      <c r="X61" s="4">
        <f>MAX(Table13[[#This Row],[Double 2023]:[Min 4K]])</f>
        <v>4000</v>
      </c>
      <c r="Y61" s="96">
        <f>IF(Table13[[#This Row],[Max of goals]]&gt;15000,15000,Table13[[#This Row],[Max of goals]])</f>
        <v>4000</v>
      </c>
    </row>
    <row r="62" spans="1:25" x14ac:dyDescent="0.25">
      <c r="A62" t="s">
        <v>286</v>
      </c>
      <c r="B62" t="s">
        <v>65</v>
      </c>
      <c r="C62" t="s">
        <v>71</v>
      </c>
      <c r="D62" t="s">
        <v>122</v>
      </c>
      <c r="E62" s="53">
        <v>34</v>
      </c>
      <c r="F62">
        <v>22</v>
      </c>
      <c r="G62" s="53"/>
      <c r="H62" s="53">
        <v>37</v>
      </c>
      <c r="I62" s="53">
        <v>20</v>
      </c>
      <c r="J62" s="53">
        <v>25</v>
      </c>
      <c r="K62" s="53">
        <v>11</v>
      </c>
      <c r="L62" s="53">
        <v>7</v>
      </c>
      <c r="M62" s="53">
        <f>Table13[[#This Row],[12/31/2023]]+1</f>
        <v>26</v>
      </c>
      <c r="N62" s="53">
        <f>Table13[[#This Row],[Recruited 23]]+1</f>
        <v>8</v>
      </c>
      <c r="O62" s="53">
        <f>IF(Table13[[#This Row],[Unit Type]]="Pack",10,12)</f>
        <v>10</v>
      </c>
      <c r="P62" s="53">
        <f>MAX(Table13[[#This Row],[Pack Recruit Goal]:[Min Recruit Goal]])</f>
        <v>10</v>
      </c>
      <c r="Q62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62" s="53">
        <f>Table13[[#This Row],[End Goal]]-Table13[[#This Row],[6/30/2023]]</f>
        <v>-10</v>
      </c>
      <c r="S62" s="4">
        <v>4308.43</v>
      </c>
      <c r="T62" s="4">
        <v>1638</v>
      </c>
      <c r="U62" s="4">
        <v>622</v>
      </c>
      <c r="V62" s="4">
        <f>Table13[[#This Row],[2023 Sales]]*2</f>
        <v>1244</v>
      </c>
      <c r="W62" s="53">
        <f>IF(Table13[[#This Row],[Double 2023]]&lt;4000,4000,0)</f>
        <v>4000</v>
      </c>
      <c r="X62" s="4">
        <f>MAX(Table13[[#This Row],[Double 2023]:[Min 4K]])</f>
        <v>4000</v>
      </c>
      <c r="Y62" s="96">
        <f>IF(Table13[[#This Row],[Max of goals]]&gt;15000,15000,Table13[[#This Row],[Max of goals]])</f>
        <v>4000</v>
      </c>
    </row>
    <row r="63" spans="1:25" x14ac:dyDescent="0.25">
      <c r="A63" t="s">
        <v>287</v>
      </c>
      <c r="B63" t="s">
        <v>68</v>
      </c>
      <c r="C63" t="s">
        <v>71</v>
      </c>
      <c r="D63" t="s">
        <v>123</v>
      </c>
      <c r="E63" s="53">
        <v>20</v>
      </c>
      <c r="F63">
        <v>15</v>
      </c>
      <c r="G63" s="53"/>
      <c r="H63" s="53">
        <v>14</v>
      </c>
      <c r="I63" s="53">
        <v>11</v>
      </c>
      <c r="J63" s="53">
        <v>13</v>
      </c>
      <c r="K63" s="53">
        <v>3</v>
      </c>
      <c r="L63" s="53">
        <v>3</v>
      </c>
      <c r="M63" s="53">
        <f>Table13[[#This Row],[12/31/2023]]+1</f>
        <v>14</v>
      </c>
      <c r="N63" s="53">
        <f>Table13[[#This Row],[Recruited 23]]+1</f>
        <v>4</v>
      </c>
      <c r="O63" s="53">
        <f>IF(Table13[[#This Row],[Unit Type]]="Pack",10,12)</f>
        <v>10</v>
      </c>
      <c r="P63" s="53">
        <f>MAX(Table13[[#This Row],[Pack Recruit Goal]:[Min Recruit Goal]])</f>
        <v>10</v>
      </c>
      <c r="Q63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63" s="53">
        <f>Table13[[#This Row],[End Goal]]-Table13[[#This Row],[6/30/2023]]</f>
        <v>-1</v>
      </c>
      <c r="S63" s="4">
        <v>0</v>
      </c>
      <c r="T63" s="4">
        <v>3554</v>
      </c>
      <c r="U63" s="4">
        <v>5825</v>
      </c>
      <c r="V63" s="4">
        <f>Table13[[#This Row],[2023 Sales]]*2</f>
        <v>11650</v>
      </c>
      <c r="W63" s="53">
        <f>IF(Table13[[#This Row],[Double 2023]]&lt;4000,4000,0)</f>
        <v>0</v>
      </c>
      <c r="X63" s="4">
        <f>MAX(Table13[[#This Row],[Double 2023]:[Min 4K]])</f>
        <v>11650</v>
      </c>
      <c r="Y63" s="96">
        <f>IF(Table13[[#This Row],[Max of goals]]&gt;15000,15000,Table13[[#This Row],[Max of goals]])</f>
        <v>11650</v>
      </c>
    </row>
    <row r="64" spans="1:25" x14ac:dyDescent="0.25">
      <c r="A64" t="s">
        <v>195</v>
      </c>
      <c r="B64" t="s">
        <v>68</v>
      </c>
      <c r="C64" t="s">
        <v>71</v>
      </c>
      <c r="D64" t="s">
        <v>196</v>
      </c>
      <c r="E64">
        <v>20</v>
      </c>
      <c r="F64" s="53">
        <v>13</v>
      </c>
      <c r="G64" s="53"/>
      <c r="H64" s="53">
        <v>25</v>
      </c>
      <c r="I64" s="53">
        <v>18</v>
      </c>
      <c r="J64" s="53"/>
      <c r="K64" s="53"/>
      <c r="L64" s="53"/>
      <c r="M64" s="53">
        <f>Table13[[#This Row],[12/31/2023]]+1</f>
        <v>1</v>
      </c>
      <c r="N64" s="53">
        <f>Table13[[#This Row],[Recruited 23]]+1</f>
        <v>1</v>
      </c>
      <c r="O64" s="53">
        <f>IF(Table13[[#This Row],[Unit Type]]="Pack",10,12)</f>
        <v>10</v>
      </c>
      <c r="P64" s="53">
        <f>MAX(Table13[[#This Row],[Pack Recruit Goal]:[Min Recruit Goal]])</f>
        <v>10</v>
      </c>
      <c r="Q64" s="53">
        <f>IF(Table13[[#This Row],[Unit Type]]="Pack",Table13[[#This Row],[Pack Recruit Growth Goal]],IF(Table13[[#This Row],[Troop Growth Goal]]&gt;11,Table13[[#This Row],[Troop Growth Goal]],Table13[[#This Row],[Min Recruit Goal]]))</f>
        <v>10</v>
      </c>
      <c r="R64" s="53">
        <f>Table13[[#This Row],[End Goal]]-Table13[[#This Row],[6/30/2023]]</f>
        <v>-8</v>
      </c>
      <c r="S64" s="4">
        <v>7200</v>
      </c>
      <c r="T64" s="4">
        <v>8550</v>
      </c>
      <c r="V64" s="4">
        <f>Table13[[#This Row],[2023 Sales]]*2</f>
        <v>0</v>
      </c>
      <c r="W64" s="53">
        <f>IF(Table13[[#This Row],[Double 2023]]&lt;4000,4000,0)</f>
        <v>4000</v>
      </c>
      <c r="X64" s="4">
        <f>MAX(Table13[[#This Row],[Double 2023]:[Min 4K]])</f>
        <v>4000</v>
      </c>
      <c r="Y64" s="96">
        <f>IF(Table13[[#This Row],[Max of goals]]&gt;15000,15000,Table13[[#This Row],[Max of goals]])</f>
        <v>4000</v>
      </c>
    </row>
    <row r="65" spans="1:25" x14ac:dyDescent="0.25">
      <c r="A65" t="s">
        <v>288</v>
      </c>
      <c r="B65" t="s">
        <v>65</v>
      </c>
      <c r="C65" t="s">
        <v>59</v>
      </c>
      <c r="D65" t="s">
        <v>124</v>
      </c>
      <c r="E65" s="53">
        <v>11</v>
      </c>
      <c r="F65" s="53">
        <v>3</v>
      </c>
      <c r="G65" s="53"/>
      <c r="H65" s="53"/>
      <c r="I65" s="53"/>
      <c r="J65" s="53">
        <v>2</v>
      </c>
      <c r="K65" s="53">
        <v>4</v>
      </c>
      <c r="L65" s="53">
        <v>0</v>
      </c>
      <c r="M65" s="53">
        <f>Table13[[#This Row],[12/31/2023]]+1</f>
        <v>3</v>
      </c>
      <c r="N65" s="53">
        <f>Table13[[#This Row],[Recruited 23]]+1</f>
        <v>1</v>
      </c>
      <c r="O65" s="53">
        <f>IF(Table13[[#This Row],[Unit Type]]="Pack",10,12)</f>
        <v>12</v>
      </c>
      <c r="P65" s="53">
        <f>MAX(Table13[[#This Row],[Pack Recruit Goal]:[Min Recruit Goal]])</f>
        <v>12</v>
      </c>
      <c r="Q65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65" s="53">
        <f>Table13[[#This Row],[End Goal]]-Table13[[#This Row],[6/30/2023]]</f>
        <v>12</v>
      </c>
      <c r="S65" s="4">
        <v>0</v>
      </c>
      <c r="T65" s="4">
        <v>0</v>
      </c>
      <c r="V65" s="4">
        <f>Table13[[#This Row],[2023 Sales]]*2</f>
        <v>0</v>
      </c>
      <c r="W65" s="53">
        <f>IF(Table13[[#This Row],[Double 2023]]&lt;4000,4000,0)</f>
        <v>4000</v>
      </c>
      <c r="X65" s="4">
        <f>MAX(Table13[[#This Row],[Double 2023]:[Min 4K]])</f>
        <v>4000</v>
      </c>
      <c r="Y65" s="96">
        <f>IF(Table13[[#This Row],[Max of goals]]&gt;15000,15000,Table13[[#This Row],[Max of goals]])</f>
        <v>4000</v>
      </c>
    </row>
    <row r="66" spans="1:25" x14ac:dyDescent="0.25">
      <c r="A66" t="s">
        <v>289</v>
      </c>
      <c r="B66" t="s">
        <v>68</v>
      </c>
      <c r="C66" t="s">
        <v>125</v>
      </c>
      <c r="D66" t="s">
        <v>126</v>
      </c>
      <c r="E66" s="53">
        <v>31</v>
      </c>
      <c r="F66">
        <v>30</v>
      </c>
      <c r="G66" s="53"/>
      <c r="H66" s="53">
        <v>29</v>
      </c>
      <c r="I66" s="53">
        <v>29</v>
      </c>
      <c r="J66" s="53">
        <v>32</v>
      </c>
      <c r="K66" s="53">
        <v>27</v>
      </c>
      <c r="L66" s="53">
        <v>4</v>
      </c>
      <c r="M66" s="53">
        <f>Table13[[#This Row],[12/31/2023]]+1</f>
        <v>33</v>
      </c>
      <c r="N66" s="53">
        <f>Table13[[#This Row],[Recruited 23]]+1</f>
        <v>5</v>
      </c>
      <c r="O66" s="53">
        <f>IF(Table13[[#This Row],[Unit Type]]="Pack",10,12)</f>
        <v>12</v>
      </c>
      <c r="P66" s="53">
        <f>MAX(Table13[[#This Row],[Pack Recruit Goal]:[Min Recruit Goal]])</f>
        <v>12</v>
      </c>
      <c r="Q66" s="53">
        <f>IF(Table13[[#This Row],[Unit Type]]="Pack",Table13[[#This Row],[Pack Recruit Growth Goal]],IF(Table13[[#This Row],[Troop Growth Goal]]&gt;11,Table13[[#This Row],[Troop Growth Goal]],Table13[[#This Row],[Min Recruit Goal]]))</f>
        <v>33</v>
      </c>
      <c r="R66" s="53">
        <f>Table13[[#This Row],[End Goal]]-Table13[[#This Row],[6/30/2023]]</f>
        <v>4</v>
      </c>
      <c r="S66" s="4">
        <v>14334.44</v>
      </c>
      <c r="T66" s="4">
        <v>6832</v>
      </c>
      <c r="U66" s="4">
        <v>20</v>
      </c>
      <c r="V66" s="4">
        <f>Table13[[#This Row],[2023 Sales]]*2</f>
        <v>40</v>
      </c>
      <c r="W66" s="53">
        <f>IF(Table13[[#This Row],[Double 2023]]&lt;4000,4000,0)</f>
        <v>4000</v>
      </c>
      <c r="X66" s="4">
        <f>MAX(Table13[[#This Row],[Double 2023]:[Min 4K]])</f>
        <v>4000</v>
      </c>
      <c r="Y66" s="96">
        <f>IF(Table13[[#This Row],[Max of goals]]&gt;15000,15000,Table13[[#This Row],[Max of goals]])</f>
        <v>4000</v>
      </c>
    </row>
    <row r="67" spans="1:25" x14ac:dyDescent="0.25">
      <c r="A67" t="s">
        <v>290</v>
      </c>
      <c r="B67" t="s">
        <v>68</v>
      </c>
      <c r="C67" t="s">
        <v>125</v>
      </c>
      <c r="D67" t="s">
        <v>127</v>
      </c>
      <c r="E67" s="53">
        <v>27</v>
      </c>
      <c r="F67">
        <v>27</v>
      </c>
      <c r="G67" s="53"/>
      <c r="H67" s="53">
        <v>28</v>
      </c>
      <c r="I67" s="53">
        <v>24</v>
      </c>
      <c r="J67" s="53">
        <v>27</v>
      </c>
      <c r="K67" s="53">
        <v>23</v>
      </c>
      <c r="L67" s="53">
        <v>2</v>
      </c>
      <c r="M67" s="53">
        <f>Table13[[#This Row],[12/31/2023]]+1</f>
        <v>28</v>
      </c>
      <c r="N67" s="53">
        <f>Table13[[#This Row],[Recruited 23]]+1</f>
        <v>3</v>
      </c>
      <c r="O67" s="53">
        <f>IF(Table13[[#This Row],[Unit Type]]="Pack",10,12)</f>
        <v>12</v>
      </c>
      <c r="P67" s="53">
        <f>MAX(Table13[[#This Row],[Pack Recruit Goal]:[Min Recruit Goal]])</f>
        <v>12</v>
      </c>
      <c r="Q67" s="53">
        <f>IF(Table13[[#This Row],[Unit Type]]="Pack",Table13[[#This Row],[Pack Recruit Growth Goal]],IF(Table13[[#This Row],[Troop Growth Goal]]&gt;11,Table13[[#This Row],[Troop Growth Goal]],Table13[[#This Row],[Min Recruit Goal]]))</f>
        <v>28</v>
      </c>
      <c r="R67" s="53">
        <f>Table13[[#This Row],[End Goal]]-Table13[[#This Row],[6/30/2023]]</f>
        <v>4</v>
      </c>
      <c r="S67" s="4">
        <v>0</v>
      </c>
      <c r="V67" s="4">
        <f>Table13[[#This Row],[2023 Sales]]*2</f>
        <v>0</v>
      </c>
      <c r="W67" s="53">
        <f>IF(Table13[[#This Row],[Double 2023]]&lt;4000,4000,0)</f>
        <v>4000</v>
      </c>
      <c r="X67" s="4">
        <f>MAX(Table13[[#This Row],[Double 2023]:[Min 4K]])</f>
        <v>4000</v>
      </c>
      <c r="Y67" s="96">
        <f>IF(Table13[[#This Row],[Max of goals]]&gt;15000,15000,Table13[[#This Row],[Max of goals]])</f>
        <v>4000</v>
      </c>
    </row>
    <row r="68" spans="1:25" x14ac:dyDescent="0.25">
      <c r="A68" t="s">
        <v>387</v>
      </c>
      <c r="B68" t="s">
        <v>68</v>
      </c>
      <c r="C68" t="s">
        <v>125</v>
      </c>
      <c r="D68" t="s">
        <v>386</v>
      </c>
      <c r="E68" s="53"/>
      <c r="F68" s="53"/>
      <c r="G68" s="53"/>
      <c r="H68" s="53"/>
      <c r="I68" s="53"/>
      <c r="J68" s="53"/>
      <c r="K68" s="53">
        <v>5</v>
      </c>
      <c r="L68" s="53"/>
      <c r="M68" s="53">
        <f>Table13[[#This Row],[12/31/2023]]+1</f>
        <v>1</v>
      </c>
      <c r="N68" s="53">
        <f>Table13[[#This Row],[Recruited 23]]+1</f>
        <v>1</v>
      </c>
      <c r="O68" s="53">
        <f>IF(Table13[[#This Row],[Unit Type]]="Pack",10,12)</f>
        <v>12</v>
      </c>
      <c r="P68" s="53">
        <f>MAX(Table13[[#This Row],[Pack Recruit Goal]:[Min Recruit Goal]])</f>
        <v>12</v>
      </c>
      <c r="Q68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68" s="53">
        <f>Table13[[#This Row],[End Goal]]-Table13[[#This Row],[6/30/2023]]</f>
        <v>12</v>
      </c>
      <c r="V68" s="4">
        <f>Table13[[#This Row],[2023 Sales]]*2</f>
        <v>0</v>
      </c>
      <c r="W68" s="53">
        <f>IF(Table13[[#This Row],[Double 2023]]&lt;4000,4000,0)</f>
        <v>4000</v>
      </c>
      <c r="X68" s="4">
        <f>MAX(Table13[[#This Row],[Double 2023]:[Min 4K]])</f>
        <v>4000</v>
      </c>
      <c r="Y68" s="96">
        <f>IF(Table13[[#This Row],[Max of goals]]&gt;15000,15000,Table13[[#This Row],[Max of goals]])</f>
        <v>4000</v>
      </c>
    </row>
    <row r="69" spans="1:25" x14ac:dyDescent="0.25">
      <c r="A69" t="s">
        <v>291</v>
      </c>
      <c r="B69" t="s">
        <v>65</v>
      </c>
      <c r="C69" t="s">
        <v>125</v>
      </c>
      <c r="D69" t="s">
        <v>128</v>
      </c>
      <c r="E69" s="53">
        <v>23</v>
      </c>
      <c r="F69">
        <v>19</v>
      </c>
      <c r="G69" s="53"/>
      <c r="H69" s="53">
        <v>17</v>
      </c>
      <c r="I69" s="53">
        <v>14</v>
      </c>
      <c r="J69" s="53">
        <v>16</v>
      </c>
      <c r="K69" s="53">
        <v>13</v>
      </c>
      <c r="L69" s="53">
        <v>1</v>
      </c>
      <c r="M69" s="53">
        <f>Table13[[#This Row],[12/31/2023]]+1</f>
        <v>17</v>
      </c>
      <c r="N69" s="53">
        <f>Table13[[#This Row],[Recruited 23]]+1</f>
        <v>2</v>
      </c>
      <c r="O69" s="53">
        <f>IF(Table13[[#This Row],[Unit Type]]="Pack",10,12)</f>
        <v>12</v>
      </c>
      <c r="P69" s="53">
        <f>MAX(Table13[[#This Row],[Pack Recruit Goal]:[Min Recruit Goal]])</f>
        <v>12</v>
      </c>
      <c r="Q69" s="53">
        <f>IF(Table13[[#This Row],[Unit Type]]="Pack",Table13[[#This Row],[Pack Recruit Growth Goal]],IF(Table13[[#This Row],[Troop Growth Goal]]&gt;11,Table13[[#This Row],[Troop Growth Goal]],Table13[[#This Row],[Min Recruit Goal]]))</f>
        <v>17</v>
      </c>
      <c r="R69" s="53">
        <f>Table13[[#This Row],[End Goal]]-Table13[[#This Row],[6/30/2023]]</f>
        <v>3</v>
      </c>
      <c r="S69" s="4">
        <v>0</v>
      </c>
      <c r="V69" s="4">
        <f>Table13[[#This Row],[2023 Sales]]*2</f>
        <v>0</v>
      </c>
      <c r="W69" s="53">
        <f>IF(Table13[[#This Row],[Double 2023]]&lt;4000,4000,0)</f>
        <v>4000</v>
      </c>
      <c r="X69" s="4">
        <f>MAX(Table13[[#This Row],[Double 2023]:[Min 4K]])</f>
        <v>4000</v>
      </c>
      <c r="Y69" s="96">
        <f>IF(Table13[[#This Row],[Max of goals]]&gt;15000,15000,Table13[[#This Row],[Max of goals]])</f>
        <v>4000</v>
      </c>
    </row>
    <row r="70" spans="1:25" x14ac:dyDescent="0.25">
      <c r="A70" t="s">
        <v>292</v>
      </c>
      <c r="B70" t="s">
        <v>68</v>
      </c>
      <c r="C70" t="s">
        <v>125</v>
      </c>
      <c r="D70" t="s">
        <v>129</v>
      </c>
      <c r="E70" s="53">
        <v>29</v>
      </c>
      <c r="F70">
        <v>22</v>
      </c>
      <c r="G70" s="53"/>
      <c r="H70" s="53">
        <v>22</v>
      </c>
      <c r="I70" s="53">
        <v>18</v>
      </c>
      <c r="J70" s="53">
        <v>20</v>
      </c>
      <c r="K70" s="53">
        <v>19</v>
      </c>
      <c r="L70" s="53">
        <v>1</v>
      </c>
      <c r="M70" s="53">
        <f>Table13[[#This Row],[12/31/2023]]+1</f>
        <v>21</v>
      </c>
      <c r="N70" s="53">
        <f>Table13[[#This Row],[Recruited 23]]+1</f>
        <v>2</v>
      </c>
      <c r="O70" s="53">
        <f>IF(Table13[[#This Row],[Unit Type]]="Pack",10,12)</f>
        <v>12</v>
      </c>
      <c r="P70" s="53">
        <f>MAX(Table13[[#This Row],[Pack Recruit Goal]:[Min Recruit Goal]])</f>
        <v>12</v>
      </c>
      <c r="Q70" s="53">
        <f>IF(Table13[[#This Row],[Unit Type]]="Pack",Table13[[#This Row],[Pack Recruit Growth Goal]],IF(Table13[[#This Row],[Troop Growth Goal]]&gt;11,Table13[[#This Row],[Troop Growth Goal]],Table13[[#This Row],[Min Recruit Goal]]))</f>
        <v>21</v>
      </c>
      <c r="R70" s="53">
        <f>Table13[[#This Row],[End Goal]]-Table13[[#This Row],[6/30/2023]]</f>
        <v>3</v>
      </c>
      <c r="S70" s="4">
        <v>0</v>
      </c>
      <c r="U70" s="4">
        <v>238</v>
      </c>
      <c r="V70" s="4">
        <f>Table13[[#This Row],[2023 Sales]]*2</f>
        <v>476</v>
      </c>
      <c r="W70" s="53">
        <f>IF(Table13[[#This Row],[Double 2023]]&lt;4000,4000,0)</f>
        <v>4000</v>
      </c>
      <c r="X70" s="4">
        <f>MAX(Table13[[#This Row],[Double 2023]:[Min 4K]])</f>
        <v>4000</v>
      </c>
      <c r="Y70" s="96">
        <f>IF(Table13[[#This Row],[Max of goals]]&gt;15000,15000,Table13[[#This Row],[Max of goals]])</f>
        <v>4000</v>
      </c>
    </row>
    <row r="71" spans="1:25" x14ac:dyDescent="0.25">
      <c r="A71" t="s">
        <v>293</v>
      </c>
      <c r="B71" t="s">
        <v>58</v>
      </c>
      <c r="C71" t="s">
        <v>125</v>
      </c>
      <c r="D71" t="s">
        <v>129</v>
      </c>
      <c r="E71" s="53">
        <v>19</v>
      </c>
      <c r="F71">
        <v>22</v>
      </c>
      <c r="G71" s="53"/>
      <c r="H71" s="53">
        <v>24</v>
      </c>
      <c r="I71" s="53">
        <v>15</v>
      </c>
      <c r="J71" s="53">
        <v>23</v>
      </c>
      <c r="K71" s="53">
        <v>18</v>
      </c>
      <c r="L71" s="53">
        <v>2</v>
      </c>
      <c r="M71" s="53">
        <f>Table13[[#This Row],[12/31/2023]]+1</f>
        <v>24</v>
      </c>
      <c r="N71" s="53">
        <f>Table13[[#This Row],[Recruited 23]]+1</f>
        <v>3</v>
      </c>
      <c r="O71" s="53">
        <f>IF(Table13[[#This Row],[Unit Type]]="Pack",10,12)</f>
        <v>12</v>
      </c>
      <c r="P71" s="53">
        <f>MAX(Table13[[#This Row],[Pack Recruit Goal]:[Min Recruit Goal]])</f>
        <v>12</v>
      </c>
      <c r="Q71" s="53">
        <f>IF(Table13[[#This Row],[Unit Type]]="Pack",Table13[[#This Row],[Pack Recruit Growth Goal]],IF(Table13[[#This Row],[Troop Growth Goal]]&gt;11,Table13[[#This Row],[Troop Growth Goal]],Table13[[#This Row],[Min Recruit Goal]]))</f>
        <v>24</v>
      </c>
      <c r="R71" s="53">
        <f>Table13[[#This Row],[End Goal]]-Table13[[#This Row],[6/30/2023]]</f>
        <v>9</v>
      </c>
      <c r="S71" s="4">
        <v>7650.94</v>
      </c>
      <c r="V71" s="4">
        <f>Table13[[#This Row],[2023 Sales]]*2</f>
        <v>0</v>
      </c>
      <c r="W71" s="53">
        <f>IF(Table13[[#This Row],[Double 2023]]&lt;4000,4000,0)</f>
        <v>4000</v>
      </c>
      <c r="X71" s="4">
        <f>MAX(Table13[[#This Row],[Double 2023]:[Min 4K]])</f>
        <v>4000</v>
      </c>
      <c r="Y71" s="96">
        <f>IF(Table13[[#This Row],[Max of goals]]&gt;15000,15000,Table13[[#This Row],[Max of goals]])</f>
        <v>4000</v>
      </c>
    </row>
    <row r="72" spans="1:25" x14ac:dyDescent="0.25">
      <c r="A72" t="s">
        <v>294</v>
      </c>
      <c r="B72" t="s">
        <v>65</v>
      </c>
      <c r="C72" t="s">
        <v>125</v>
      </c>
      <c r="D72" t="s">
        <v>130</v>
      </c>
      <c r="E72" s="53">
        <v>38</v>
      </c>
      <c r="F72">
        <v>47</v>
      </c>
      <c r="G72" s="53"/>
      <c r="H72" s="53">
        <v>39</v>
      </c>
      <c r="I72" s="53">
        <v>34</v>
      </c>
      <c r="J72" s="53">
        <v>37</v>
      </c>
      <c r="K72" s="53">
        <v>27</v>
      </c>
      <c r="L72" s="53">
        <v>1</v>
      </c>
      <c r="M72" s="53">
        <f>Table13[[#This Row],[12/31/2023]]+1</f>
        <v>38</v>
      </c>
      <c r="N72" s="53">
        <f>Table13[[#This Row],[Recruited 23]]+1</f>
        <v>2</v>
      </c>
      <c r="O72" s="53">
        <f>IF(Table13[[#This Row],[Unit Type]]="Pack",10,12)</f>
        <v>12</v>
      </c>
      <c r="P72" s="53">
        <f>MAX(Table13[[#This Row],[Pack Recruit Goal]:[Min Recruit Goal]])</f>
        <v>12</v>
      </c>
      <c r="Q72" s="53">
        <f>IF(Table13[[#This Row],[Unit Type]]="Pack",Table13[[#This Row],[Pack Recruit Growth Goal]],IF(Table13[[#This Row],[Troop Growth Goal]]&gt;11,Table13[[#This Row],[Troop Growth Goal]],Table13[[#This Row],[Min Recruit Goal]]))</f>
        <v>38</v>
      </c>
      <c r="R72" s="53">
        <f>Table13[[#This Row],[End Goal]]-Table13[[#This Row],[6/30/2023]]</f>
        <v>4</v>
      </c>
      <c r="V72" s="4">
        <f>Table13[[#This Row],[2023 Sales]]*2</f>
        <v>0</v>
      </c>
      <c r="W72" s="53">
        <f>IF(Table13[[#This Row],[Double 2023]]&lt;4000,4000,0)</f>
        <v>4000</v>
      </c>
      <c r="X72" s="4">
        <f>MAX(Table13[[#This Row],[Double 2023]:[Min 4K]])</f>
        <v>4000</v>
      </c>
      <c r="Y72" s="96">
        <f>IF(Table13[[#This Row],[Max of goals]]&gt;15000,15000,Table13[[#This Row],[Max of goals]])</f>
        <v>4000</v>
      </c>
    </row>
    <row r="73" spans="1:25" x14ac:dyDescent="0.25">
      <c r="A73" t="s">
        <v>295</v>
      </c>
      <c r="B73" t="s">
        <v>58</v>
      </c>
      <c r="C73" t="s">
        <v>125</v>
      </c>
      <c r="D73" t="s">
        <v>130</v>
      </c>
      <c r="E73" s="53">
        <v>5</v>
      </c>
      <c r="F73">
        <v>5</v>
      </c>
      <c r="G73" s="53"/>
      <c r="H73" s="53">
        <v>5</v>
      </c>
      <c r="I73" s="53">
        <v>6</v>
      </c>
      <c r="J73" s="53">
        <v>8</v>
      </c>
      <c r="K73" s="53">
        <v>6</v>
      </c>
      <c r="L73" s="53">
        <v>0</v>
      </c>
      <c r="M73" s="53">
        <f>Table13[[#This Row],[12/31/2023]]+1</f>
        <v>9</v>
      </c>
      <c r="N73" s="53">
        <f>Table13[[#This Row],[Recruited 23]]+1</f>
        <v>1</v>
      </c>
      <c r="O73" s="53">
        <f>IF(Table13[[#This Row],[Unit Type]]="Pack",10,12)</f>
        <v>12</v>
      </c>
      <c r="P73" s="53">
        <f>MAX(Table13[[#This Row],[Pack Recruit Goal]:[Min Recruit Goal]])</f>
        <v>12</v>
      </c>
      <c r="Q73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73" s="53">
        <f>Table13[[#This Row],[End Goal]]-Table13[[#This Row],[6/30/2023]]</f>
        <v>6</v>
      </c>
      <c r="S73" s="4">
        <v>570</v>
      </c>
      <c r="T73" s="4">
        <v>1645</v>
      </c>
      <c r="U73" s="4">
        <v>2451</v>
      </c>
      <c r="V73" s="4">
        <f>Table13[[#This Row],[2023 Sales]]*2</f>
        <v>4902</v>
      </c>
      <c r="W73" s="53">
        <f>IF(Table13[[#This Row],[Double 2023]]&lt;4000,4000,0)</f>
        <v>0</v>
      </c>
      <c r="X73" s="4">
        <f>MAX(Table13[[#This Row],[Double 2023]:[Min 4K]])</f>
        <v>4902</v>
      </c>
      <c r="Y73" s="96">
        <f>IF(Table13[[#This Row],[Max of goals]]&gt;15000,15000,Table13[[#This Row],[Max of goals]])</f>
        <v>4902</v>
      </c>
    </row>
    <row r="74" spans="1:25" x14ac:dyDescent="0.25">
      <c r="A74" t="s">
        <v>296</v>
      </c>
      <c r="B74" t="s">
        <v>65</v>
      </c>
      <c r="C74" t="s">
        <v>125</v>
      </c>
      <c r="D74" t="s">
        <v>131</v>
      </c>
      <c r="E74" s="53">
        <v>79</v>
      </c>
      <c r="F74">
        <v>68</v>
      </c>
      <c r="G74" s="53"/>
      <c r="H74" s="53">
        <v>77</v>
      </c>
      <c r="I74" s="53">
        <v>68</v>
      </c>
      <c r="J74" s="53">
        <v>71</v>
      </c>
      <c r="K74" s="53">
        <v>60</v>
      </c>
      <c r="L74" s="53">
        <v>4</v>
      </c>
      <c r="M74" s="53">
        <f>Table13[[#This Row],[12/31/2023]]+1</f>
        <v>72</v>
      </c>
      <c r="N74" s="53">
        <f>Table13[[#This Row],[Recruited 23]]+1</f>
        <v>5</v>
      </c>
      <c r="O74" s="53">
        <f>IF(Table13[[#This Row],[Unit Type]]="Pack",10,12)</f>
        <v>12</v>
      </c>
      <c r="P74" s="53">
        <f>MAX(Table13[[#This Row],[Pack Recruit Goal]:[Min Recruit Goal]])</f>
        <v>12</v>
      </c>
      <c r="Q74" s="53">
        <f>IF(Table13[[#This Row],[Unit Type]]="Pack",Table13[[#This Row],[Pack Recruit Growth Goal]],IF(Table13[[#This Row],[Troop Growth Goal]]&gt;11,Table13[[#This Row],[Troop Growth Goal]],Table13[[#This Row],[Min Recruit Goal]]))</f>
        <v>72</v>
      </c>
      <c r="R74" s="53">
        <f>Table13[[#This Row],[End Goal]]-Table13[[#This Row],[6/30/2023]]</f>
        <v>4</v>
      </c>
      <c r="S74" s="4">
        <v>0</v>
      </c>
      <c r="V74" s="4">
        <f>Table13[[#This Row],[2023 Sales]]*2</f>
        <v>0</v>
      </c>
      <c r="W74" s="53">
        <f>IF(Table13[[#This Row],[Double 2023]]&lt;4000,4000,0)</f>
        <v>4000</v>
      </c>
      <c r="X74" s="4">
        <f>MAX(Table13[[#This Row],[Double 2023]:[Min 4K]])</f>
        <v>4000</v>
      </c>
      <c r="Y74" s="96">
        <f>IF(Table13[[#This Row],[Max of goals]]&gt;15000,15000,Table13[[#This Row],[Max of goals]])</f>
        <v>4000</v>
      </c>
    </row>
    <row r="75" spans="1:25" x14ac:dyDescent="0.25">
      <c r="A75" t="s">
        <v>297</v>
      </c>
      <c r="B75" t="s">
        <v>68</v>
      </c>
      <c r="C75" t="s">
        <v>125</v>
      </c>
      <c r="D75" t="s">
        <v>132</v>
      </c>
      <c r="E75" s="53">
        <v>22</v>
      </c>
      <c r="F75">
        <v>14</v>
      </c>
      <c r="G75" s="53"/>
      <c r="H75" s="53">
        <v>15</v>
      </c>
      <c r="I75" s="53">
        <v>10</v>
      </c>
      <c r="J75" s="53">
        <v>11</v>
      </c>
      <c r="K75" s="53">
        <v>8</v>
      </c>
      <c r="L75" s="53">
        <v>0</v>
      </c>
      <c r="M75" s="53">
        <f>Table13[[#This Row],[12/31/2023]]+1</f>
        <v>12</v>
      </c>
      <c r="N75" s="53">
        <f>Table13[[#This Row],[Recruited 23]]+1</f>
        <v>1</v>
      </c>
      <c r="O75" s="53">
        <f>IF(Table13[[#This Row],[Unit Type]]="Pack",10,12)</f>
        <v>12</v>
      </c>
      <c r="P75" s="53">
        <f>MAX(Table13[[#This Row],[Pack Recruit Goal]:[Min Recruit Goal]])</f>
        <v>12</v>
      </c>
      <c r="Q75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75" s="53">
        <f>Table13[[#This Row],[End Goal]]-Table13[[#This Row],[6/30/2023]]</f>
        <v>2</v>
      </c>
      <c r="S75" s="4">
        <v>0</v>
      </c>
      <c r="V75" s="4">
        <f>Table13[[#This Row],[2023 Sales]]*2</f>
        <v>0</v>
      </c>
      <c r="W75" s="53">
        <f>IF(Table13[[#This Row],[Double 2023]]&lt;4000,4000,0)</f>
        <v>4000</v>
      </c>
      <c r="X75" s="4">
        <f>MAX(Table13[[#This Row],[Double 2023]:[Min 4K]])</f>
        <v>4000</v>
      </c>
      <c r="Y75" s="96">
        <f>IF(Table13[[#This Row],[Max of goals]]&gt;15000,15000,Table13[[#This Row],[Max of goals]])</f>
        <v>4000</v>
      </c>
    </row>
    <row r="76" spans="1:25" x14ac:dyDescent="0.25">
      <c r="A76" t="s">
        <v>298</v>
      </c>
      <c r="B76" t="s">
        <v>58</v>
      </c>
      <c r="C76" t="s">
        <v>125</v>
      </c>
      <c r="D76" t="s">
        <v>133</v>
      </c>
      <c r="E76" s="53">
        <v>25</v>
      </c>
      <c r="F76">
        <v>16</v>
      </c>
      <c r="G76" s="53"/>
      <c r="H76" s="53">
        <v>16</v>
      </c>
      <c r="I76" s="53">
        <v>14</v>
      </c>
      <c r="J76" s="53">
        <v>15</v>
      </c>
      <c r="K76" s="53">
        <v>12</v>
      </c>
      <c r="L76" s="53">
        <v>0</v>
      </c>
      <c r="M76" s="53">
        <f>Table13[[#This Row],[12/31/2023]]+1</f>
        <v>16</v>
      </c>
      <c r="N76" s="53">
        <f>Table13[[#This Row],[Recruited 23]]+1</f>
        <v>1</v>
      </c>
      <c r="O76" s="53">
        <f>IF(Table13[[#This Row],[Unit Type]]="Pack",10,12)</f>
        <v>12</v>
      </c>
      <c r="P76" s="53">
        <f>MAX(Table13[[#This Row],[Pack Recruit Goal]:[Min Recruit Goal]])</f>
        <v>12</v>
      </c>
      <c r="Q76" s="53">
        <f>IF(Table13[[#This Row],[Unit Type]]="Pack",Table13[[#This Row],[Pack Recruit Growth Goal]],IF(Table13[[#This Row],[Troop Growth Goal]]&gt;11,Table13[[#This Row],[Troop Growth Goal]],Table13[[#This Row],[Min Recruit Goal]]))</f>
        <v>16</v>
      </c>
      <c r="R76" s="53">
        <f>Table13[[#This Row],[End Goal]]-Table13[[#This Row],[6/30/2023]]</f>
        <v>2</v>
      </c>
      <c r="S76" s="4">
        <v>2650</v>
      </c>
      <c r="T76" s="4">
        <v>4376</v>
      </c>
      <c r="V76" s="4">
        <f>Table13[[#This Row],[2023 Sales]]*2</f>
        <v>0</v>
      </c>
      <c r="W76" s="53">
        <f>IF(Table13[[#This Row],[Double 2023]]&lt;4000,4000,0)</f>
        <v>4000</v>
      </c>
      <c r="X76" s="4">
        <f>MAX(Table13[[#This Row],[Double 2023]:[Min 4K]])</f>
        <v>4000</v>
      </c>
      <c r="Y76" s="96">
        <f>IF(Table13[[#This Row],[Max of goals]]&gt;15000,15000,Table13[[#This Row],[Max of goals]])</f>
        <v>4000</v>
      </c>
    </row>
    <row r="77" spans="1:25" x14ac:dyDescent="0.25">
      <c r="A77" t="s">
        <v>299</v>
      </c>
      <c r="B77" t="s">
        <v>68</v>
      </c>
      <c r="C77" t="s">
        <v>125</v>
      </c>
      <c r="D77" t="s">
        <v>134</v>
      </c>
      <c r="E77" s="53">
        <v>8</v>
      </c>
      <c r="F77">
        <v>3</v>
      </c>
      <c r="G77" s="53"/>
      <c r="H77" s="53">
        <v>4</v>
      </c>
      <c r="I77" s="53">
        <v>6</v>
      </c>
      <c r="J77" s="53">
        <v>6</v>
      </c>
      <c r="K77" s="53">
        <v>9</v>
      </c>
      <c r="L77" s="53">
        <v>0</v>
      </c>
      <c r="M77" s="53">
        <f>Table13[[#This Row],[12/31/2023]]+1</f>
        <v>7</v>
      </c>
      <c r="N77" s="53">
        <f>Table13[[#This Row],[Recruited 23]]+1</f>
        <v>1</v>
      </c>
      <c r="O77" s="53">
        <f>IF(Table13[[#This Row],[Unit Type]]="Pack",10,12)</f>
        <v>12</v>
      </c>
      <c r="P77" s="53">
        <f>MAX(Table13[[#This Row],[Pack Recruit Goal]:[Min Recruit Goal]])</f>
        <v>12</v>
      </c>
      <c r="Q77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77" s="53">
        <f>Table13[[#This Row],[End Goal]]-Table13[[#This Row],[6/30/2023]]</f>
        <v>6</v>
      </c>
      <c r="S77" s="4">
        <v>1064.8900000000001</v>
      </c>
      <c r="T77" s="4">
        <v>1322</v>
      </c>
      <c r="U77" s="4">
        <v>3226</v>
      </c>
      <c r="V77" s="4">
        <f>Table13[[#This Row],[2023 Sales]]*2</f>
        <v>6452</v>
      </c>
      <c r="W77" s="53">
        <f>IF(Table13[[#This Row],[Double 2023]]&lt;4000,4000,0)</f>
        <v>0</v>
      </c>
      <c r="X77" s="4">
        <f>MAX(Table13[[#This Row],[Double 2023]:[Min 4K]])</f>
        <v>6452</v>
      </c>
      <c r="Y77" s="96">
        <f>IF(Table13[[#This Row],[Max of goals]]&gt;15000,15000,Table13[[#This Row],[Max of goals]])</f>
        <v>6452</v>
      </c>
    </row>
    <row r="78" spans="1:25" x14ac:dyDescent="0.25">
      <c r="A78" t="s">
        <v>300</v>
      </c>
      <c r="B78" t="s">
        <v>68</v>
      </c>
      <c r="C78" t="s">
        <v>125</v>
      </c>
      <c r="D78" t="s">
        <v>135</v>
      </c>
      <c r="E78" s="53">
        <v>14</v>
      </c>
      <c r="F78">
        <v>11</v>
      </c>
      <c r="G78" s="53"/>
      <c r="H78" s="53">
        <v>11</v>
      </c>
      <c r="I78" s="53">
        <v>10</v>
      </c>
      <c r="J78" s="53">
        <v>13</v>
      </c>
      <c r="K78" s="53">
        <v>13</v>
      </c>
      <c r="L78" s="53">
        <v>1</v>
      </c>
      <c r="M78" s="53">
        <f>Table13[[#This Row],[12/31/2023]]+1</f>
        <v>14</v>
      </c>
      <c r="N78" s="53">
        <f>Table13[[#This Row],[Recruited 23]]+1</f>
        <v>2</v>
      </c>
      <c r="O78" s="53">
        <f>IF(Table13[[#This Row],[Unit Type]]="Pack",10,12)</f>
        <v>12</v>
      </c>
      <c r="P78" s="53">
        <f>MAX(Table13[[#This Row],[Pack Recruit Goal]:[Min Recruit Goal]])</f>
        <v>12</v>
      </c>
      <c r="Q78" s="53">
        <f>IF(Table13[[#This Row],[Unit Type]]="Pack",Table13[[#This Row],[Pack Recruit Growth Goal]],IF(Table13[[#This Row],[Troop Growth Goal]]&gt;11,Table13[[#This Row],[Troop Growth Goal]],Table13[[#This Row],[Min Recruit Goal]]))</f>
        <v>14</v>
      </c>
      <c r="R78" s="53">
        <f>Table13[[#This Row],[End Goal]]-Table13[[#This Row],[6/30/2023]]</f>
        <v>4</v>
      </c>
      <c r="S78" s="4">
        <v>5657.67</v>
      </c>
      <c r="T78" s="4">
        <v>1462</v>
      </c>
      <c r="U78" s="4">
        <v>336</v>
      </c>
      <c r="V78" s="4">
        <f>Table13[[#This Row],[2023 Sales]]*2</f>
        <v>672</v>
      </c>
      <c r="W78" s="53">
        <f>IF(Table13[[#This Row],[Double 2023]]&lt;4000,4000,0)</f>
        <v>4000</v>
      </c>
      <c r="X78" s="4">
        <f>MAX(Table13[[#This Row],[Double 2023]:[Min 4K]])</f>
        <v>4000</v>
      </c>
      <c r="Y78" s="96">
        <f>IF(Table13[[#This Row],[Max of goals]]&gt;15000,15000,Table13[[#This Row],[Max of goals]])</f>
        <v>4000</v>
      </c>
    </row>
    <row r="79" spans="1:25" x14ac:dyDescent="0.25">
      <c r="A79" t="s">
        <v>301</v>
      </c>
      <c r="B79" t="s">
        <v>58</v>
      </c>
      <c r="C79" t="s">
        <v>125</v>
      </c>
      <c r="D79" t="s">
        <v>135</v>
      </c>
      <c r="E79" s="53">
        <v>27</v>
      </c>
      <c r="F79">
        <v>19</v>
      </c>
      <c r="G79" s="53"/>
      <c r="H79" s="53">
        <v>20</v>
      </c>
      <c r="I79" s="53">
        <v>22</v>
      </c>
      <c r="J79" s="53">
        <v>23</v>
      </c>
      <c r="K79" s="53">
        <v>19</v>
      </c>
      <c r="L79" s="53">
        <v>1</v>
      </c>
      <c r="M79" s="53">
        <f>Table13[[#This Row],[12/31/2023]]+1</f>
        <v>24</v>
      </c>
      <c r="N79" s="53">
        <f>Table13[[#This Row],[Recruited 23]]+1</f>
        <v>2</v>
      </c>
      <c r="O79" s="53">
        <f>IF(Table13[[#This Row],[Unit Type]]="Pack",10,12)</f>
        <v>12</v>
      </c>
      <c r="P79" s="53">
        <f>MAX(Table13[[#This Row],[Pack Recruit Goal]:[Min Recruit Goal]])</f>
        <v>12</v>
      </c>
      <c r="Q79" s="53">
        <f>IF(Table13[[#This Row],[Unit Type]]="Pack",Table13[[#This Row],[Pack Recruit Growth Goal]],IF(Table13[[#This Row],[Troop Growth Goal]]&gt;11,Table13[[#This Row],[Troop Growth Goal]],Table13[[#This Row],[Min Recruit Goal]]))</f>
        <v>24</v>
      </c>
      <c r="R79" s="53">
        <f>Table13[[#This Row],[End Goal]]-Table13[[#This Row],[6/30/2023]]</f>
        <v>2</v>
      </c>
      <c r="S79" s="4">
        <v>9421.82</v>
      </c>
      <c r="T79" s="4">
        <v>13593</v>
      </c>
      <c r="U79" s="4">
        <v>16142</v>
      </c>
      <c r="V79" s="4">
        <f>Table13[[#This Row],[2023 Sales]]*2</f>
        <v>32284</v>
      </c>
      <c r="W79" s="53">
        <f>IF(Table13[[#This Row],[Double 2023]]&lt;4000,4000,0)</f>
        <v>0</v>
      </c>
      <c r="X79" s="4">
        <f>MAX(Table13[[#This Row],[Double 2023]:[Min 4K]])</f>
        <v>32284</v>
      </c>
      <c r="Y79" s="96">
        <f>IF(Table13[[#This Row],[Max of goals]]&gt;15000,15000,Table13[[#This Row],[Max of goals]])</f>
        <v>15000</v>
      </c>
    </row>
    <row r="80" spans="1:25" x14ac:dyDescent="0.25">
      <c r="A80" t="s">
        <v>302</v>
      </c>
      <c r="B80" t="s">
        <v>58</v>
      </c>
      <c r="C80" t="s">
        <v>125</v>
      </c>
      <c r="D80" t="s">
        <v>136</v>
      </c>
      <c r="E80" s="53">
        <v>13</v>
      </c>
      <c r="F80">
        <v>10</v>
      </c>
      <c r="G80" s="53"/>
      <c r="H80" s="53">
        <v>12</v>
      </c>
      <c r="I80" s="53">
        <v>7</v>
      </c>
      <c r="J80" s="53">
        <v>7</v>
      </c>
      <c r="K80" s="53">
        <v>3</v>
      </c>
      <c r="L80" s="53">
        <v>0</v>
      </c>
      <c r="M80" s="53">
        <f>Table13[[#This Row],[12/31/2023]]+1</f>
        <v>8</v>
      </c>
      <c r="N80" s="53">
        <f>Table13[[#This Row],[Recruited 23]]+1</f>
        <v>1</v>
      </c>
      <c r="O80" s="53">
        <f>IF(Table13[[#This Row],[Unit Type]]="Pack",10,12)</f>
        <v>12</v>
      </c>
      <c r="P80" s="53">
        <f>MAX(Table13[[#This Row],[Pack Recruit Goal]:[Min Recruit Goal]])</f>
        <v>12</v>
      </c>
      <c r="Q80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0" s="53">
        <f>Table13[[#This Row],[End Goal]]-Table13[[#This Row],[6/30/2023]]</f>
        <v>5</v>
      </c>
      <c r="S80" s="4">
        <v>1429.93</v>
      </c>
      <c r="T80" s="4">
        <v>0</v>
      </c>
      <c r="V80" s="4">
        <f>Table13[[#This Row],[2023 Sales]]*2</f>
        <v>0</v>
      </c>
      <c r="W80" s="53">
        <f>IF(Table13[[#This Row],[Double 2023]]&lt;4000,4000,0)</f>
        <v>4000</v>
      </c>
      <c r="X80" s="4">
        <f>MAX(Table13[[#This Row],[Double 2023]:[Min 4K]])</f>
        <v>4000</v>
      </c>
      <c r="Y80" s="96">
        <f>IF(Table13[[#This Row],[Max of goals]]&gt;15000,15000,Table13[[#This Row],[Max of goals]])</f>
        <v>4000</v>
      </c>
    </row>
    <row r="81" spans="1:25" x14ac:dyDescent="0.25">
      <c r="A81" t="s">
        <v>303</v>
      </c>
      <c r="B81" t="s">
        <v>62</v>
      </c>
      <c r="C81" t="s">
        <v>125</v>
      </c>
      <c r="D81" t="s">
        <v>137</v>
      </c>
      <c r="E81" s="53">
        <v>7</v>
      </c>
      <c r="F81">
        <v>7</v>
      </c>
      <c r="G81" s="53"/>
      <c r="H81" s="53">
        <v>7</v>
      </c>
      <c r="I81" s="53">
        <v>5</v>
      </c>
      <c r="J81" s="53">
        <v>5</v>
      </c>
      <c r="K81" s="53">
        <v>2</v>
      </c>
      <c r="L81" s="53">
        <v>0</v>
      </c>
      <c r="M81" s="53">
        <f>Table13[[#This Row],[12/31/2023]]+1</f>
        <v>6</v>
      </c>
      <c r="N81" s="53">
        <f>Table13[[#This Row],[Recruited 23]]+1</f>
        <v>1</v>
      </c>
      <c r="O81" s="53">
        <f>IF(Table13[[#This Row],[Unit Type]]="Pack",10,12)</f>
        <v>12</v>
      </c>
      <c r="P81" s="53">
        <f>MAX(Table13[[#This Row],[Pack Recruit Goal]:[Min Recruit Goal]])</f>
        <v>12</v>
      </c>
      <c r="Q81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1" s="53">
        <f>Table13[[#This Row],[End Goal]]-Table13[[#This Row],[6/30/2023]]</f>
        <v>7</v>
      </c>
      <c r="S81" s="4">
        <v>1514.81</v>
      </c>
      <c r="T81" s="4">
        <v>1495</v>
      </c>
      <c r="V81" s="4">
        <f>Table13[[#This Row],[2023 Sales]]*2</f>
        <v>0</v>
      </c>
      <c r="W81" s="53">
        <f>IF(Table13[[#This Row],[Double 2023]]&lt;4000,4000,0)</f>
        <v>4000</v>
      </c>
      <c r="X81" s="4">
        <f>MAX(Table13[[#This Row],[Double 2023]:[Min 4K]])</f>
        <v>4000</v>
      </c>
      <c r="Y81" s="96">
        <f>IF(Table13[[#This Row],[Max of goals]]&gt;15000,15000,Table13[[#This Row],[Max of goals]])</f>
        <v>4000</v>
      </c>
    </row>
    <row r="82" spans="1:25" x14ac:dyDescent="0.25">
      <c r="A82" t="s">
        <v>304</v>
      </c>
      <c r="B82" t="s">
        <v>68</v>
      </c>
      <c r="C82" t="s">
        <v>125</v>
      </c>
      <c r="D82" t="s">
        <v>138</v>
      </c>
      <c r="E82" s="53">
        <v>20</v>
      </c>
      <c r="F82">
        <v>14</v>
      </c>
      <c r="G82" s="53"/>
      <c r="H82" s="53">
        <v>15</v>
      </c>
      <c r="I82" s="53">
        <v>7</v>
      </c>
      <c r="J82" s="53">
        <v>7</v>
      </c>
      <c r="K82" s="53">
        <v>5</v>
      </c>
      <c r="L82" s="53">
        <v>0</v>
      </c>
      <c r="M82" s="53">
        <f>Table13[[#This Row],[12/31/2023]]+1</f>
        <v>8</v>
      </c>
      <c r="N82" s="53">
        <f>Table13[[#This Row],[Recruited 23]]+1</f>
        <v>1</v>
      </c>
      <c r="O82" s="53">
        <f>IF(Table13[[#This Row],[Unit Type]]="Pack",10,12)</f>
        <v>12</v>
      </c>
      <c r="P82" s="53">
        <f>MAX(Table13[[#This Row],[Pack Recruit Goal]:[Min Recruit Goal]])</f>
        <v>12</v>
      </c>
      <c r="Q82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2" s="53">
        <f>Table13[[#This Row],[End Goal]]-Table13[[#This Row],[6/30/2023]]</f>
        <v>5</v>
      </c>
      <c r="S82" s="4">
        <v>0</v>
      </c>
      <c r="T82" s="4">
        <v>1070</v>
      </c>
      <c r="V82" s="4">
        <f>Table13[[#This Row],[2023 Sales]]*2</f>
        <v>0</v>
      </c>
      <c r="W82" s="53">
        <f>IF(Table13[[#This Row],[Double 2023]]&lt;4000,4000,0)</f>
        <v>4000</v>
      </c>
      <c r="X82" s="4">
        <f>MAX(Table13[[#This Row],[Double 2023]:[Min 4K]])</f>
        <v>4000</v>
      </c>
      <c r="Y82" s="96">
        <f>IF(Table13[[#This Row],[Max of goals]]&gt;15000,15000,Table13[[#This Row],[Max of goals]])</f>
        <v>4000</v>
      </c>
    </row>
    <row r="83" spans="1:25" x14ac:dyDescent="0.25">
      <c r="A83" t="s">
        <v>305</v>
      </c>
      <c r="B83" t="s">
        <v>62</v>
      </c>
      <c r="C83" t="s">
        <v>125</v>
      </c>
      <c r="D83" t="s">
        <v>139</v>
      </c>
      <c r="E83" s="53">
        <v>6</v>
      </c>
      <c r="F83">
        <v>4</v>
      </c>
      <c r="G83" s="53"/>
      <c r="H83" s="53">
        <v>7</v>
      </c>
      <c r="I83" s="53">
        <v>4</v>
      </c>
      <c r="J83" s="53">
        <v>4</v>
      </c>
      <c r="K83" s="53">
        <v>0</v>
      </c>
      <c r="L83" s="53">
        <v>0</v>
      </c>
      <c r="M83" s="53">
        <f>Table13[[#This Row],[12/31/2023]]+1</f>
        <v>5</v>
      </c>
      <c r="N83" s="53">
        <f>Table13[[#This Row],[Recruited 23]]+1</f>
        <v>1</v>
      </c>
      <c r="O83" s="53">
        <f>IF(Table13[[#This Row],[Unit Type]]="Pack",10,12)</f>
        <v>12</v>
      </c>
      <c r="P83" s="53">
        <f>MAX(Table13[[#This Row],[Pack Recruit Goal]:[Min Recruit Goal]])</f>
        <v>12</v>
      </c>
      <c r="Q83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3" s="53">
        <f>Table13[[#This Row],[End Goal]]-Table13[[#This Row],[6/30/2023]]</f>
        <v>8</v>
      </c>
      <c r="S83" s="4">
        <v>0</v>
      </c>
      <c r="T83" s="4">
        <v>0</v>
      </c>
      <c r="V83" s="4">
        <f>Table13[[#This Row],[2023 Sales]]*2</f>
        <v>0</v>
      </c>
      <c r="W83" s="53">
        <f>IF(Table13[[#This Row],[Double 2023]]&lt;4000,4000,0)</f>
        <v>4000</v>
      </c>
      <c r="X83" s="4">
        <f>MAX(Table13[[#This Row],[Double 2023]:[Min 4K]])</f>
        <v>4000</v>
      </c>
      <c r="Y83" s="96">
        <f>IF(Table13[[#This Row],[Max of goals]]&gt;15000,15000,Table13[[#This Row],[Max of goals]])</f>
        <v>4000</v>
      </c>
    </row>
    <row r="84" spans="1:25" x14ac:dyDescent="0.25">
      <c r="A84" t="s">
        <v>306</v>
      </c>
      <c r="B84" t="s">
        <v>62</v>
      </c>
      <c r="C84" t="s">
        <v>125</v>
      </c>
      <c r="D84" t="s">
        <v>140</v>
      </c>
      <c r="E84" s="53">
        <v>9</v>
      </c>
      <c r="F84">
        <v>8</v>
      </c>
      <c r="G84" s="53"/>
      <c r="H84" s="53">
        <v>8</v>
      </c>
      <c r="I84" s="53">
        <v>7</v>
      </c>
      <c r="J84" s="53">
        <v>10</v>
      </c>
      <c r="K84" s="53">
        <v>10</v>
      </c>
      <c r="L84" s="53">
        <v>0</v>
      </c>
      <c r="M84" s="53">
        <f>Table13[[#This Row],[12/31/2023]]+1</f>
        <v>11</v>
      </c>
      <c r="N84" s="53">
        <f>Table13[[#This Row],[Recruited 23]]+1</f>
        <v>1</v>
      </c>
      <c r="O84" s="53">
        <f>IF(Table13[[#This Row],[Unit Type]]="Pack",10,12)</f>
        <v>12</v>
      </c>
      <c r="P84" s="53">
        <f>MAX(Table13[[#This Row],[Pack Recruit Goal]:[Min Recruit Goal]])</f>
        <v>12</v>
      </c>
      <c r="Q84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4" s="53">
        <f>Table13[[#This Row],[End Goal]]-Table13[[#This Row],[6/30/2023]]</f>
        <v>5</v>
      </c>
      <c r="S84" s="4">
        <v>0</v>
      </c>
      <c r="T84" s="4">
        <v>0</v>
      </c>
      <c r="V84" s="4">
        <f>Table13[[#This Row],[2023 Sales]]*2</f>
        <v>0</v>
      </c>
      <c r="W84" s="53">
        <f>IF(Table13[[#This Row],[Double 2023]]&lt;4000,4000,0)</f>
        <v>4000</v>
      </c>
      <c r="X84" s="4">
        <f>MAX(Table13[[#This Row],[Double 2023]:[Min 4K]])</f>
        <v>4000</v>
      </c>
      <c r="Y84" s="96">
        <f>IF(Table13[[#This Row],[Max of goals]]&gt;15000,15000,Table13[[#This Row],[Max of goals]])</f>
        <v>4000</v>
      </c>
    </row>
    <row r="85" spans="1:25" x14ac:dyDescent="0.25">
      <c r="A85" t="s">
        <v>307</v>
      </c>
      <c r="B85" t="s">
        <v>62</v>
      </c>
      <c r="C85" t="s">
        <v>125</v>
      </c>
      <c r="D85" t="s">
        <v>141</v>
      </c>
      <c r="E85" s="53">
        <v>6</v>
      </c>
      <c r="F85">
        <v>4</v>
      </c>
      <c r="G85" s="53"/>
      <c r="H85" s="53"/>
      <c r="I85" s="53"/>
      <c r="J85" s="53">
        <v>0</v>
      </c>
      <c r="K85" s="53">
        <v>0</v>
      </c>
      <c r="L85" s="53">
        <v>0</v>
      </c>
      <c r="M85" s="53">
        <f>Table13[[#This Row],[12/31/2023]]+1</f>
        <v>1</v>
      </c>
      <c r="N85" s="53">
        <f>Table13[[#This Row],[Recruited 23]]+1</f>
        <v>1</v>
      </c>
      <c r="O85" s="53">
        <f>IF(Table13[[#This Row],[Unit Type]]="Pack",10,12)</f>
        <v>12</v>
      </c>
      <c r="P85" s="53">
        <f>MAX(Table13[[#This Row],[Pack Recruit Goal]:[Min Recruit Goal]])</f>
        <v>12</v>
      </c>
      <c r="Q85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5" s="53">
        <f>Table13[[#This Row],[End Goal]]-Table13[[#This Row],[6/30/2023]]</f>
        <v>12</v>
      </c>
      <c r="S85" s="4">
        <v>194.97</v>
      </c>
      <c r="T85" s="4">
        <v>0</v>
      </c>
      <c r="V85" s="4">
        <f>Table13[[#This Row],[2023 Sales]]*2</f>
        <v>0</v>
      </c>
      <c r="W85" s="53">
        <f>IF(Table13[[#This Row],[Double 2023]]&lt;4000,4000,0)</f>
        <v>4000</v>
      </c>
      <c r="X85" s="4">
        <f>MAX(Table13[[#This Row],[Double 2023]:[Min 4K]])</f>
        <v>4000</v>
      </c>
      <c r="Y85" s="96">
        <f>IF(Table13[[#This Row],[Max of goals]]&gt;15000,15000,Table13[[#This Row],[Max of goals]])</f>
        <v>4000</v>
      </c>
    </row>
    <row r="86" spans="1:25" x14ac:dyDescent="0.25">
      <c r="A86" t="s">
        <v>308</v>
      </c>
      <c r="B86" t="s">
        <v>62</v>
      </c>
      <c r="C86" t="s">
        <v>125</v>
      </c>
      <c r="D86" t="s">
        <v>142</v>
      </c>
      <c r="E86" s="53">
        <v>6</v>
      </c>
      <c r="F86">
        <v>5</v>
      </c>
      <c r="G86" s="53"/>
      <c r="H86" s="53">
        <v>6</v>
      </c>
      <c r="I86" s="53">
        <v>4</v>
      </c>
      <c r="J86" s="53">
        <v>7</v>
      </c>
      <c r="K86" s="53">
        <v>6</v>
      </c>
      <c r="L86" s="53">
        <v>0</v>
      </c>
      <c r="M86" s="53">
        <f>Table13[[#This Row],[12/31/2023]]+1</f>
        <v>8</v>
      </c>
      <c r="N86" s="53">
        <f>Table13[[#This Row],[Recruited 23]]+1</f>
        <v>1</v>
      </c>
      <c r="O86" s="53">
        <f>IF(Table13[[#This Row],[Unit Type]]="Pack",10,12)</f>
        <v>12</v>
      </c>
      <c r="P86" s="53">
        <f>MAX(Table13[[#This Row],[Pack Recruit Goal]:[Min Recruit Goal]])</f>
        <v>12</v>
      </c>
      <c r="Q86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6" s="53">
        <f>Table13[[#This Row],[End Goal]]-Table13[[#This Row],[6/30/2023]]</f>
        <v>8</v>
      </c>
      <c r="S86" s="4">
        <v>1189.9100000000001</v>
      </c>
      <c r="T86" s="4">
        <v>3953</v>
      </c>
      <c r="V86" s="4">
        <f>Table13[[#This Row],[2023 Sales]]*2</f>
        <v>0</v>
      </c>
      <c r="W86" s="53">
        <f>IF(Table13[[#This Row],[Double 2023]]&lt;4000,4000,0)</f>
        <v>4000</v>
      </c>
      <c r="X86" s="4">
        <f>MAX(Table13[[#This Row],[Double 2023]:[Min 4K]])</f>
        <v>4000</v>
      </c>
      <c r="Y86" s="96">
        <f>IF(Table13[[#This Row],[Max of goals]]&gt;15000,15000,Table13[[#This Row],[Max of goals]])</f>
        <v>4000</v>
      </c>
    </row>
    <row r="87" spans="1:25" x14ac:dyDescent="0.25">
      <c r="A87" t="s">
        <v>309</v>
      </c>
      <c r="B87" t="s">
        <v>68</v>
      </c>
      <c r="C87" t="s">
        <v>125</v>
      </c>
      <c r="D87" t="s">
        <v>143</v>
      </c>
      <c r="E87" s="53">
        <v>16</v>
      </c>
      <c r="F87">
        <v>11</v>
      </c>
      <c r="G87" s="53"/>
      <c r="H87" s="53">
        <v>11</v>
      </c>
      <c r="I87" s="53">
        <v>10</v>
      </c>
      <c r="J87" s="53">
        <v>9</v>
      </c>
      <c r="K87" s="53">
        <v>8</v>
      </c>
      <c r="L87" s="53">
        <v>0</v>
      </c>
      <c r="M87" s="53">
        <f>Table13[[#This Row],[12/31/2023]]+1</f>
        <v>10</v>
      </c>
      <c r="N87" s="53">
        <f>Table13[[#This Row],[Recruited 23]]+1</f>
        <v>1</v>
      </c>
      <c r="O87" s="53">
        <f>IF(Table13[[#This Row],[Unit Type]]="Pack",10,12)</f>
        <v>12</v>
      </c>
      <c r="P87" s="53">
        <f>MAX(Table13[[#This Row],[Pack Recruit Goal]:[Min Recruit Goal]])</f>
        <v>12</v>
      </c>
      <c r="Q87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87" s="53">
        <f>Table13[[#This Row],[End Goal]]-Table13[[#This Row],[6/30/2023]]</f>
        <v>2</v>
      </c>
      <c r="S87" s="4">
        <v>874.73</v>
      </c>
      <c r="T87" s="4">
        <v>59</v>
      </c>
      <c r="U87" s="4">
        <v>108</v>
      </c>
      <c r="V87" s="4">
        <f>Table13[[#This Row],[2023 Sales]]*2</f>
        <v>216</v>
      </c>
      <c r="W87" s="53">
        <f>IF(Table13[[#This Row],[Double 2023]]&lt;4000,4000,0)</f>
        <v>4000</v>
      </c>
      <c r="X87" s="4">
        <f>MAX(Table13[[#This Row],[Double 2023]:[Min 4K]])</f>
        <v>4000</v>
      </c>
      <c r="Y87" s="96">
        <f>IF(Table13[[#This Row],[Max of goals]]&gt;15000,15000,Table13[[#This Row],[Max of goals]])</f>
        <v>4000</v>
      </c>
    </row>
    <row r="88" spans="1:25" x14ac:dyDescent="0.25">
      <c r="A88" t="s">
        <v>310</v>
      </c>
      <c r="B88" t="s">
        <v>58</v>
      </c>
      <c r="C88" t="s">
        <v>125</v>
      </c>
      <c r="D88" t="s">
        <v>144</v>
      </c>
      <c r="E88" s="53">
        <v>33</v>
      </c>
      <c r="F88">
        <v>24</v>
      </c>
      <c r="G88" s="53"/>
      <c r="H88" s="53">
        <v>25</v>
      </c>
      <c r="I88" s="53">
        <v>19</v>
      </c>
      <c r="J88" s="53">
        <v>19</v>
      </c>
      <c r="K88" s="53">
        <v>20</v>
      </c>
      <c r="L88" s="53">
        <v>0</v>
      </c>
      <c r="M88" s="53">
        <f>Table13[[#This Row],[12/31/2023]]+1</f>
        <v>20</v>
      </c>
      <c r="N88" s="53">
        <f>Table13[[#This Row],[Recruited 23]]+1</f>
        <v>1</v>
      </c>
      <c r="O88" s="53">
        <f>IF(Table13[[#This Row],[Unit Type]]="Pack",10,12)</f>
        <v>12</v>
      </c>
      <c r="P88" s="53">
        <f>MAX(Table13[[#This Row],[Pack Recruit Goal]:[Min Recruit Goal]])</f>
        <v>12</v>
      </c>
      <c r="Q88" s="53">
        <f>IF(Table13[[#This Row],[Unit Type]]="Pack",Table13[[#This Row],[Pack Recruit Growth Goal]],IF(Table13[[#This Row],[Troop Growth Goal]]&gt;11,Table13[[#This Row],[Troop Growth Goal]],Table13[[#This Row],[Min Recruit Goal]]))</f>
        <v>20</v>
      </c>
      <c r="R88" s="53">
        <f>Table13[[#This Row],[End Goal]]-Table13[[#This Row],[6/30/2023]]</f>
        <v>1</v>
      </c>
      <c r="S88" s="4">
        <v>0</v>
      </c>
      <c r="T88" s="4">
        <v>0</v>
      </c>
      <c r="V88" s="4">
        <f>Table13[[#This Row],[2023 Sales]]*2</f>
        <v>0</v>
      </c>
      <c r="W88" s="53">
        <f>IF(Table13[[#This Row],[Double 2023]]&lt;4000,4000,0)</f>
        <v>4000</v>
      </c>
      <c r="X88" s="4">
        <f>MAX(Table13[[#This Row],[Double 2023]:[Min 4K]])</f>
        <v>4000</v>
      </c>
      <c r="Y88" s="96">
        <f>IF(Table13[[#This Row],[Max of goals]]&gt;15000,15000,Table13[[#This Row],[Max of goals]])</f>
        <v>4000</v>
      </c>
    </row>
    <row r="89" spans="1:25" x14ac:dyDescent="0.25">
      <c r="A89" t="s">
        <v>311</v>
      </c>
      <c r="B89" t="s">
        <v>65</v>
      </c>
      <c r="C89" t="s">
        <v>125</v>
      </c>
      <c r="D89" t="s">
        <v>145</v>
      </c>
      <c r="E89" s="53">
        <v>58</v>
      </c>
      <c r="F89">
        <v>51</v>
      </c>
      <c r="G89" s="53"/>
      <c r="H89" s="53">
        <v>52</v>
      </c>
      <c r="I89" s="53">
        <v>43</v>
      </c>
      <c r="J89" s="53">
        <v>43</v>
      </c>
      <c r="K89" s="53">
        <v>38</v>
      </c>
      <c r="L89" s="53">
        <v>0</v>
      </c>
      <c r="M89" s="53">
        <f>Table13[[#This Row],[12/31/2023]]+1</f>
        <v>44</v>
      </c>
      <c r="N89" s="53">
        <f>Table13[[#This Row],[Recruited 23]]+1</f>
        <v>1</v>
      </c>
      <c r="O89" s="53">
        <f>IF(Table13[[#This Row],[Unit Type]]="Pack",10,12)</f>
        <v>12</v>
      </c>
      <c r="P89" s="53">
        <f>MAX(Table13[[#This Row],[Pack Recruit Goal]:[Min Recruit Goal]])</f>
        <v>12</v>
      </c>
      <c r="Q89" s="53">
        <f>IF(Table13[[#This Row],[Unit Type]]="Pack",Table13[[#This Row],[Pack Recruit Growth Goal]],IF(Table13[[#This Row],[Troop Growth Goal]]&gt;11,Table13[[#This Row],[Troop Growth Goal]],Table13[[#This Row],[Min Recruit Goal]]))</f>
        <v>44</v>
      </c>
      <c r="R89" s="53">
        <f>Table13[[#This Row],[End Goal]]-Table13[[#This Row],[6/30/2023]]</f>
        <v>1</v>
      </c>
      <c r="S89" s="4">
        <v>5926.31</v>
      </c>
      <c r="T89" s="4">
        <v>3125</v>
      </c>
      <c r="U89" s="4">
        <v>2082</v>
      </c>
      <c r="V89" s="4">
        <f>Table13[[#This Row],[2023 Sales]]*2</f>
        <v>4164</v>
      </c>
      <c r="W89" s="53">
        <f>IF(Table13[[#This Row],[Double 2023]]&lt;4000,4000,0)</f>
        <v>0</v>
      </c>
      <c r="X89" s="4">
        <f>MAX(Table13[[#This Row],[Double 2023]:[Min 4K]])</f>
        <v>4164</v>
      </c>
      <c r="Y89" s="96">
        <f>IF(Table13[[#This Row],[Max of goals]]&gt;15000,15000,Table13[[#This Row],[Max of goals]])</f>
        <v>4164</v>
      </c>
    </row>
    <row r="90" spans="1:25" x14ac:dyDescent="0.25">
      <c r="A90" t="s">
        <v>312</v>
      </c>
      <c r="B90" t="s">
        <v>65</v>
      </c>
      <c r="C90" t="s">
        <v>125</v>
      </c>
      <c r="D90" t="s">
        <v>146</v>
      </c>
      <c r="E90" s="53">
        <v>16</v>
      </c>
      <c r="F90">
        <v>8</v>
      </c>
      <c r="G90" s="53"/>
      <c r="H90" s="53">
        <v>8</v>
      </c>
      <c r="I90" s="53">
        <v>7</v>
      </c>
      <c r="J90" s="53">
        <v>7</v>
      </c>
      <c r="K90" s="53">
        <v>0</v>
      </c>
      <c r="L90" s="53">
        <v>0</v>
      </c>
      <c r="M90" s="53">
        <f>Table13[[#This Row],[12/31/2023]]+1</f>
        <v>8</v>
      </c>
      <c r="N90" s="53">
        <f>Table13[[#This Row],[Recruited 23]]+1</f>
        <v>1</v>
      </c>
      <c r="O90" s="53">
        <f>IF(Table13[[#This Row],[Unit Type]]="Pack",10,12)</f>
        <v>12</v>
      </c>
      <c r="P90" s="53">
        <f>MAX(Table13[[#This Row],[Pack Recruit Goal]:[Min Recruit Goal]])</f>
        <v>12</v>
      </c>
      <c r="Q90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90" s="53">
        <f>Table13[[#This Row],[End Goal]]-Table13[[#This Row],[6/30/2023]]</f>
        <v>5</v>
      </c>
      <c r="S90" s="4">
        <v>0</v>
      </c>
      <c r="T90" s="4">
        <v>0</v>
      </c>
      <c r="V90" s="4">
        <f>Table13[[#This Row],[2023 Sales]]*2</f>
        <v>0</v>
      </c>
      <c r="W90" s="53">
        <f>IF(Table13[[#This Row],[Double 2023]]&lt;4000,4000,0)</f>
        <v>4000</v>
      </c>
      <c r="X90" s="4">
        <f>MAX(Table13[[#This Row],[Double 2023]:[Min 4K]])</f>
        <v>4000</v>
      </c>
      <c r="Y90" s="96">
        <f>IF(Table13[[#This Row],[Max of goals]]&gt;15000,15000,Table13[[#This Row],[Max of goals]])</f>
        <v>4000</v>
      </c>
    </row>
    <row r="91" spans="1:25" x14ac:dyDescent="0.25">
      <c r="A91" t="s">
        <v>313</v>
      </c>
      <c r="B91" t="s">
        <v>65</v>
      </c>
      <c r="C91" t="s">
        <v>125</v>
      </c>
      <c r="D91" t="s">
        <v>147</v>
      </c>
      <c r="E91" s="53">
        <v>35</v>
      </c>
      <c r="F91">
        <v>34</v>
      </c>
      <c r="G91" s="53"/>
      <c r="H91" s="53">
        <v>37</v>
      </c>
      <c r="I91" s="53">
        <v>28</v>
      </c>
      <c r="J91" s="53">
        <v>32</v>
      </c>
      <c r="K91" s="53">
        <v>41</v>
      </c>
      <c r="L91" s="53">
        <v>0</v>
      </c>
      <c r="M91" s="53">
        <f>Table13[[#This Row],[12/31/2023]]+1</f>
        <v>33</v>
      </c>
      <c r="N91" s="53">
        <f>Table13[[#This Row],[Recruited 23]]+1</f>
        <v>1</v>
      </c>
      <c r="O91" s="53">
        <f>IF(Table13[[#This Row],[Unit Type]]="Pack",10,12)</f>
        <v>12</v>
      </c>
      <c r="P91" s="53">
        <f>MAX(Table13[[#This Row],[Pack Recruit Goal]:[Min Recruit Goal]])</f>
        <v>12</v>
      </c>
      <c r="Q91" s="53">
        <f>IF(Table13[[#This Row],[Unit Type]]="Pack",Table13[[#This Row],[Pack Recruit Growth Goal]],IF(Table13[[#This Row],[Troop Growth Goal]]&gt;11,Table13[[#This Row],[Troop Growth Goal]],Table13[[#This Row],[Min Recruit Goal]]))</f>
        <v>33</v>
      </c>
      <c r="R91" s="53">
        <f>Table13[[#This Row],[End Goal]]-Table13[[#This Row],[6/30/2023]]</f>
        <v>5</v>
      </c>
      <c r="S91" s="4">
        <v>0</v>
      </c>
      <c r="T91" s="4">
        <v>0</v>
      </c>
      <c r="V91" s="4">
        <f>Table13[[#This Row],[2023 Sales]]*2</f>
        <v>0</v>
      </c>
      <c r="W91" s="53">
        <f>IF(Table13[[#This Row],[Double 2023]]&lt;4000,4000,0)</f>
        <v>4000</v>
      </c>
      <c r="X91" s="4">
        <f>MAX(Table13[[#This Row],[Double 2023]:[Min 4K]])</f>
        <v>4000</v>
      </c>
      <c r="Y91" s="96">
        <f>IF(Table13[[#This Row],[Max of goals]]&gt;15000,15000,Table13[[#This Row],[Max of goals]])</f>
        <v>4000</v>
      </c>
    </row>
    <row r="92" spans="1:25" x14ac:dyDescent="0.25">
      <c r="A92" t="s">
        <v>314</v>
      </c>
      <c r="B92" t="s">
        <v>58</v>
      </c>
      <c r="C92" t="s">
        <v>125</v>
      </c>
      <c r="D92" t="s">
        <v>148</v>
      </c>
      <c r="E92" s="53">
        <v>10</v>
      </c>
      <c r="F92">
        <v>7</v>
      </c>
      <c r="G92" s="53"/>
      <c r="H92" s="53">
        <v>7</v>
      </c>
      <c r="I92" s="53">
        <v>5</v>
      </c>
      <c r="J92" s="53">
        <v>5</v>
      </c>
      <c r="K92" s="53">
        <v>5</v>
      </c>
      <c r="L92" s="53">
        <v>0</v>
      </c>
      <c r="M92" s="53">
        <f>Table13[[#This Row],[12/31/2023]]+1</f>
        <v>6</v>
      </c>
      <c r="N92" s="53">
        <f>Table13[[#This Row],[Recruited 23]]+1</f>
        <v>1</v>
      </c>
      <c r="O92" s="53">
        <f>IF(Table13[[#This Row],[Unit Type]]="Pack",10,12)</f>
        <v>12</v>
      </c>
      <c r="P92" s="53">
        <f>MAX(Table13[[#This Row],[Pack Recruit Goal]:[Min Recruit Goal]])</f>
        <v>12</v>
      </c>
      <c r="Q92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92" s="53">
        <f>Table13[[#This Row],[End Goal]]-Table13[[#This Row],[6/30/2023]]</f>
        <v>7</v>
      </c>
      <c r="S92" s="4">
        <v>110</v>
      </c>
      <c r="T92" s="4">
        <v>0</v>
      </c>
      <c r="V92" s="4">
        <f>Table13[[#This Row],[2023 Sales]]*2</f>
        <v>0</v>
      </c>
      <c r="W92" s="53">
        <f>IF(Table13[[#This Row],[Double 2023]]&lt;4000,4000,0)</f>
        <v>4000</v>
      </c>
      <c r="X92" s="4">
        <f>MAX(Table13[[#This Row],[Double 2023]:[Min 4K]])</f>
        <v>4000</v>
      </c>
      <c r="Y92" s="96">
        <f>IF(Table13[[#This Row],[Max of goals]]&gt;15000,15000,Table13[[#This Row],[Max of goals]])</f>
        <v>4000</v>
      </c>
    </row>
    <row r="93" spans="1:25" x14ac:dyDescent="0.25">
      <c r="A93" t="s">
        <v>315</v>
      </c>
      <c r="B93" t="s">
        <v>65</v>
      </c>
      <c r="C93" t="s">
        <v>125</v>
      </c>
      <c r="D93" t="s">
        <v>149</v>
      </c>
      <c r="E93" s="53">
        <v>41</v>
      </c>
      <c r="F93">
        <v>47</v>
      </c>
      <c r="G93" s="53"/>
      <c r="H93" s="53">
        <v>54</v>
      </c>
      <c r="I93" s="53">
        <v>49</v>
      </c>
      <c r="J93" s="53">
        <v>50</v>
      </c>
      <c r="K93" s="53">
        <v>41</v>
      </c>
      <c r="L93" s="53">
        <v>2</v>
      </c>
      <c r="M93" s="53">
        <f>Table13[[#This Row],[12/31/2023]]+1</f>
        <v>51</v>
      </c>
      <c r="N93" s="53">
        <f>Table13[[#This Row],[Recruited 23]]+1</f>
        <v>3</v>
      </c>
      <c r="O93" s="53">
        <f>IF(Table13[[#This Row],[Unit Type]]="Pack",10,12)</f>
        <v>12</v>
      </c>
      <c r="P93" s="53">
        <f>MAX(Table13[[#This Row],[Pack Recruit Goal]:[Min Recruit Goal]])</f>
        <v>12</v>
      </c>
      <c r="Q93" s="53">
        <f>IF(Table13[[#This Row],[Unit Type]]="Pack",Table13[[#This Row],[Pack Recruit Growth Goal]],IF(Table13[[#This Row],[Troop Growth Goal]]&gt;11,Table13[[#This Row],[Troop Growth Goal]],Table13[[#This Row],[Min Recruit Goal]]))</f>
        <v>51</v>
      </c>
      <c r="R93" s="53">
        <f>Table13[[#This Row],[End Goal]]-Table13[[#This Row],[6/30/2023]]</f>
        <v>2</v>
      </c>
      <c r="S93" s="4">
        <v>3839.04</v>
      </c>
      <c r="T93" s="4">
        <v>3017</v>
      </c>
      <c r="U93" s="4">
        <v>6211</v>
      </c>
      <c r="V93" s="4">
        <f>Table13[[#This Row],[2023 Sales]]*2</f>
        <v>12422</v>
      </c>
      <c r="W93" s="53">
        <f>IF(Table13[[#This Row],[Double 2023]]&lt;4000,4000,0)</f>
        <v>0</v>
      </c>
      <c r="X93" s="4">
        <f>MAX(Table13[[#This Row],[Double 2023]:[Min 4K]])</f>
        <v>12422</v>
      </c>
      <c r="Y93" s="96">
        <f>IF(Table13[[#This Row],[Max of goals]]&gt;15000,15000,Table13[[#This Row],[Max of goals]])</f>
        <v>12422</v>
      </c>
    </row>
    <row r="94" spans="1:25" x14ac:dyDescent="0.25">
      <c r="A94" t="s">
        <v>316</v>
      </c>
      <c r="B94" t="s">
        <v>68</v>
      </c>
      <c r="C94" t="s">
        <v>125</v>
      </c>
      <c r="D94" t="s">
        <v>150</v>
      </c>
      <c r="E94" s="53">
        <v>21</v>
      </c>
      <c r="F94">
        <v>26</v>
      </c>
      <c r="G94" s="53"/>
      <c r="H94" s="53">
        <v>28</v>
      </c>
      <c r="I94" s="53">
        <v>24</v>
      </c>
      <c r="J94" s="53">
        <v>23</v>
      </c>
      <c r="K94" s="53">
        <v>23</v>
      </c>
      <c r="L94" s="53">
        <v>0</v>
      </c>
      <c r="M94" s="53">
        <f>Table13[[#This Row],[12/31/2023]]+1</f>
        <v>24</v>
      </c>
      <c r="N94" s="53">
        <f>Table13[[#This Row],[Recruited 23]]+1</f>
        <v>1</v>
      </c>
      <c r="O94" s="53">
        <f>IF(Table13[[#This Row],[Unit Type]]="Pack",10,12)</f>
        <v>12</v>
      </c>
      <c r="P94" s="53">
        <f>MAX(Table13[[#This Row],[Pack Recruit Goal]:[Min Recruit Goal]])</f>
        <v>12</v>
      </c>
      <c r="Q94" s="53">
        <f>IF(Table13[[#This Row],[Unit Type]]="Pack",Table13[[#This Row],[Pack Recruit Growth Goal]],IF(Table13[[#This Row],[Troop Growth Goal]]&gt;11,Table13[[#This Row],[Troop Growth Goal]],Table13[[#This Row],[Min Recruit Goal]]))</f>
        <v>24</v>
      </c>
      <c r="R94" s="53">
        <f>Table13[[#This Row],[End Goal]]-Table13[[#This Row],[6/30/2023]]</f>
        <v>0</v>
      </c>
      <c r="S94" s="4">
        <v>5639.66</v>
      </c>
      <c r="T94" s="4">
        <v>7491</v>
      </c>
      <c r="U94" s="4">
        <v>7034</v>
      </c>
      <c r="V94" s="4">
        <f>Table13[[#This Row],[2023 Sales]]*2</f>
        <v>14068</v>
      </c>
      <c r="W94" s="53">
        <f>IF(Table13[[#This Row],[Double 2023]]&lt;4000,4000,0)</f>
        <v>0</v>
      </c>
      <c r="X94" s="4">
        <f>MAX(Table13[[#This Row],[Double 2023]:[Min 4K]])</f>
        <v>14068</v>
      </c>
      <c r="Y94" s="96">
        <f>IF(Table13[[#This Row],[Max of goals]]&gt;15000,15000,Table13[[#This Row],[Max of goals]])</f>
        <v>14068</v>
      </c>
    </row>
    <row r="95" spans="1:25" x14ac:dyDescent="0.25">
      <c r="A95" t="s">
        <v>317</v>
      </c>
      <c r="B95" t="s">
        <v>68</v>
      </c>
      <c r="C95" t="s">
        <v>125</v>
      </c>
      <c r="D95" t="s">
        <v>151</v>
      </c>
      <c r="E95" s="53"/>
      <c r="F95">
        <v>3</v>
      </c>
      <c r="G95" s="53"/>
      <c r="H95" s="53">
        <v>4</v>
      </c>
      <c r="I95" s="53">
        <v>5</v>
      </c>
      <c r="J95" s="53">
        <v>7</v>
      </c>
      <c r="K95" s="53">
        <v>7</v>
      </c>
      <c r="L95" s="53">
        <v>2</v>
      </c>
      <c r="M95" s="53">
        <f>Table13[[#This Row],[12/31/2023]]+1</f>
        <v>8</v>
      </c>
      <c r="N95" s="53">
        <f>Table13[[#This Row],[Recruited 23]]+1</f>
        <v>3</v>
      </c>
      <c r="O95" s="53">
        <f>IF(Table13[[#This Row],[Unit Type]]="Pack",10,12)</f>
        <v>12</v>
      </c>
      <c r="P95" s="53">
        <f>MAX(Table13[[#This Row],[Pack Recruit Goal]:[Min Recruit Goal]])</f>
        <v>12</v>
      </c>
      <c r="Q95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95" s="53">
        <f>Table13[[#This Row],[End Goal]]-Table13[[#This Row],[6/30/2023]]</f>
        <v>7</v>
      </c>
      <c r="S95" s="4">
        <v>0</v>
      </c>
      <c r="T95" s="4">
        <v>1493</v>
      </c>
      <c r="U95" s="4">
        <v>2120</v>
      </c>
      <c r="V95" s="4">
        <f>Table13[[#This Row],[2023 Sales]]*2</f>
        <v>4240</v>
      </c>
      <c r="W95" s="53">
        <f>IF(Table13[[#This Row],[Double 2023]]&lt;4000,4000,0)</f>
        <v>0</v>
      </c>
      <c r="X95" s="4">
        <f>MAX(Table13[[#This Row],[Double 2023]:[Min 4K]])</f>
        <v>4240</v>
      </c>
      <c r="Y95" s="96">
        <f>IF(Table13[[#This Row],[Max of goals]]&gt;15000,15000,Table13[[#This Row],[Max of goals]])</f>
        <v>4240</v>
      </c>
    </row>
    <row r="96" spans="1:25" x14ac:dyDescent="0.25">
      <c r="A96" t="s">
        <v>318</v>
      </c>
      <c r="B96" t="s">
        <v>65</v>
      </c>
      <c r="C96" t="s">
        <v>125</v>
      </c>
      <c r="D96" t="s">
        <v>152</v>
      </c>
      <c r="E96" s="53">
        <v>35</v>
      </c>
      <c r="F96">
        <v>28</v>
      </c>
      <c r="G96" s="53"/>
      <c r="H96" s="53">
        <v>35</v>
      </c>
      <c r="I96" s="53">
        <v>33</v>
      </c>
      <c r="J96" s="53">
        <v>33</v>
      </c>
      <c r="K96" s="53">
        <v>37</v>
      </c>
      <c r="L96" s="53">
        <v>1</v>
      </c>
      <c r="M96" s="53">
        <f>Table13[[#This Row],[12/31/2023]]+1</f>
        <v>34</v>
      </c>
      <c r="N96" s="53">
        <f>Table13[[#This Row],[Recruited 23]]+1</f>
        <v>2</v>
      </c>
      <c r="O96" s="53">
        <f>IF(Table13[[#This Row],[Unit Type]]="Pack",10,12)</f>
        <v>12</v>
      </c>
      <c r="P96" s="53">
        <f>MAX(Table13[[#This Row],[Pack Recruit Goal]:[Min Recruit Goal]])</f>
        <v>12</v>
      </c>
      <c r="Q96" s="53">
        <f>IF(Table13[[#This Row],[Unit Type]]="Pack",Table13[[#This Row],[Pack Recruit Growth Goal]],IF(Table13[[#This Row],[Troop Growth Goal]]&gt;11,Table13[[#This Row],[Troop Growth Goal]],Table13[[#This Row],[Min Recruit Goal]]))</f>
        <v>34</v>
      </c>
      <c r="R96" s="53">
        <f>Table13[[#This Row],[End Goal]]-Table13[[#This Row],[6/30/2023]]</f>
        <v>1</v>
      </c>
      <c r="S96" s="4">
        <v>2084.85</v>
      </c>
      <c r="T96" s="4">
        <v>5992</v>
      </c>
      <c r="U96" s="4">
        <v>8880</v>
      </c>
      <c r="V96" s="4">
        <f>Table13[[#This Row],[2023 Sales]]*2</f>
        <v>17760</v>
      </c>
      <c r="W96" s="53">
        <f>IF(Table13[[#This Row],[Double 2023]]&lt;4000,4000,0)</f>
        <v>0</v>
      </c>
      <c r="X96" s="4">
        <f>MAX(Table13[[#This Row],[Double 2023]:[Min 4K]])</f>
        <v>17760</v>
      </c>
      <c r="Y96" s="96">
        <f>IF(Table13[[#This Row],[Max of goals]]&gt;15000,15000,Table13[[#This Row],[Max of goals]])</f>
        <v>15000</v>
      </c>
    </row>
    <row r="97" spans="1:25" x14ac:dyDescent="0.25">
      <c r="A97" t="s">
        <v>319</v>
      </c>
      <c r="B97" t="s">
        <v>65</v>
      </c>
      <c r="C97" t="s">
        <v>125</v>
      </c>
      <c r="D97" t="s">
        <v>153</v>
      </c>
      <c r="E97" s="53">
        <v>18</v>
      </c>
      <c r="F97">
        <v>14</v>
      </c>
      <c r="G97" s="53"/>
      <c r="H97" s="53">
        <v>18</v>
      </c>
      <c r="I97" s="53">
        <v>18</v>
      </c>
      <c r="J97" s="53">
        <v>18</v>
      </c>
      <c r="K97" s="53">
        <v>12</v>
      </c>
      <c r="L97" s="53">
        <v>0</v>
      </c>
      <c r="M97" s="53">
        <f>Table13[[#This Row],[12/31/2023]]+1</f>
        <v>19</v>
      </c>
      <c r="N97" s="53">
        <f>Table13[[#This Row],[Recruited 23]]+1</f>
        <v>1</v>
      </c>
      <c r="O97" s="53">
        <f>IF(Table13[[#This Row],[Unit Type]]="Pack",10,12)</f>
        <v>12</v>
      </c>
      <c r="P97" s="53">
        <f>MAX(Table13[[#This Row],[Pack Recruit Goal]:[Min Recruit Goal]])</f>
        <v>12</v>
      </c>
      <c r="Q97" s="53">
        <f>IF(Table13[[#This Row],[Unit Type]]="Pack",Table13[[#This Row],[Pack Recruit Growth Goal]],IF(Table13[[#This Row],[Troop Growth Goal]]&gt;11,Table13[[#This Row],[Troop Growth Goal]],Table13[[#This Row],[Min Recruit Goal]]))</f>
        <v>19</v>
      </c>
      <c r="R97" s="53">
        <f>Table13[[#This Row],[End Goal]]-Table13[[#This Row],[6/30/2023]]</f>
        <v>1</v>
      </c>
      <c r="S97" s="4">
        <v>0</v>
      </c>
      <c r="T97" s="4">
        <v>0</v>
      </c>
      <c r="V97" s="4">
        <f>Table13[[#This Row],[2023 Sales]]*2</f>
        <v>0</v>
      </c>
      <c r="W97" s="53">
        <f>IF(Table13[[#This Row],[Double 2023]]&lt;4000,4000,0)</f>
        <v>4000</v>
      </c>
      <c r="X97" s="4">
        <f>MAX(Table13[[#This Row],[Double 2023]:[Min 4K]])</f>
        <v>4000</v>
      </c>
      <c r="Y97" s="96">
        <f>IF(Table13[[#This Row],[Max of goals]]&gt;15000,15000,Table13[[#This Row],[Max of goals]])</f>
        <v>4000</v>
      </c>
    </row>
    <row r="98" spans="1:25" x14ac:dyDescent="0.25">
      <c r="A98" t="s">
        <v>320</v>
      </c>
      <c r="B98" t="s">
        <v>65</v>
      </c>
      <c r="C98" t="s">
        <v>125</v>
      </c>
      <c r="D98" t="s">
        <v>154</v>
      </c>
      <c r="E98" s="53">
        <v>31</v>
      </c>
      <c r="F98">
        <v>30</v>
      </c>
      <c r="G98" s="53"/>
      <c r="H98" s="53">
        <v>34</v>
      </c>
      <c r="I98" s="53">
        <v>32</v>
      </c>
      <c r="J98" s="53">
        <v>36</v>
      </c>
      <c r="K98" s="53">
        <v>27</v>
      </c>
      <c r="L98" s="53">
        <v>4</v>
      </c>
      <c r="M98" s="53">
        <f>Table13[[#This Row],[12/31/2023]]+1</f>
        <v>37</v>
      </c>
      <c r="N98" s="53">
        <f>Table13[[#This Row],[Recruited 23]]+1</f>
        <v>5</v>
      </c>
      <c r="O98" s="53">
        <f>IF(Table13[[#This Row],[Unit Type]]="Pack",10,12)</f>
        <v>12</v>
      </c>
      <c r="P98" s="53">
        <f>MAX(Table13[[#This Row],[Pack Recruit Goal]:[Min Recruit Goal]])</f>
        <v>12</v>
      </c>
      <c r="Q98" s="53">
        <f>IF(Table13[[#This Row],[Unit Type]]="Pack",Table13[[#This Row],[Pack Recruit Growth Goal]],IF(Table13[[#This Row],[Troop Growth Goal]]&gt;11,Table13[[#This Row],[Troop Growth Goal]],Table13[[#This Row],[Min Recruit Goal]]))</f>
        <v>37</v>
      </c>
      <c r="R98" s="53">
        <f>Table13[[#This Row],[End Goal]]-Table13[[#This Row],[6/30/2023]]</f>
        <v>5</v>
      </c>
      <c r="S98" s="4">
        <v>2950</v>
      </c>
      <c r="T98" s="4">
        <v>2155</v>
      </c>
      <c r="U98" s="4">
        <v>3285</v>
      </c>
      <c r="V98" s="4">
        <f>Table13[[#This Row],[2023 Sales]]*2</f>
        <v>6570</v>
      </c>
      <c r="W98" s="53">
        <f>IF(Table13[[#This Row],[Double 2023]]&lt;4000,4000,0)</f>
        <v>0</v>
      </c>
      <c r="X98" s="4">
        <f>MAX(Table13[[#This Row],[Double 2023]:[Min 4K]])</f>
        <v>6570</v>
      </c>
      <c r="Y98" s="96">
        <f>IF(Table13[[#This Row],[Max of goals]]&gt;15000,15000,Table13[[#This Row],[Max of goals]])</f>
        <v>6570</v>
      </c>
    </row>
    <row r="99" spans="1:25" x14ac:dyDescent="0.25">
      <c r="A99" t="s">
        <v>321</v>
      </c>
      <c r="B99" t="s">
        <v>68</v>
      </c>
      <c r="C99" t="s">
        <v>125</v>
      </c>
      <c r="D99" t="s">
        <v>155</v>
      </c>
      <c r="E99" s="53">
        <v>32</v>
      </c>
      <c r="F99">
        <v>21</v>
      </c>
      <c r="G99" s="53"/>
      <c r="H99" s="53">
        <v>23</v>
      </c>
      <c r="I99" s="53">
        <v>22</v>
      </c>
      <c r="J99" s="53">
        <v>26</v>
      </c>
      <c r="K99" s="53">
        <v>36</v>
      </c>
      <c r="L99" s="53">
        <v>4</v>
      </c>
      <c r="M99" s="53">
        <f>Table13[[#This Row],[12/31/2023]]+1</f>
        <v>27</v>
      </c>
      <c r="N99" s="53">
        <f>Table13[[#This Row],[Recruited 23]]+1</f>
        <v>5</v>
      </c>
      <c r="O99" s="53">
        <f>IF(Table13[[#This Row],[Unit Type]]="Pack",10,12)</f>
        <v>12</v>
      </c>
      <c r="P99" s="53">
        <f>MAX(Table13[[#This Row],[Pack Recruit Goal]:[Min Recruit Goal]])</f>
        <v>12</v>
      </c>
      <c r="Q99" s="53">
        <f>IF(Table13[[#This Row],[Unit Type]]="Pack",Table13[[#This Row],[Pack Recruit Growth Goal]],IF(Table13[[#This Row],[Troop Growth Goal]]&gt;11,Table13[[#This Row],[Troop Growth Goal]],Table13[[#This Row],[Min Recruit Goal]]))</f>
        <v>27</v>
      </c>
      <c r="R99" s="53">
        <f>Table13[[#This Row],[End Goal]]-Table13[[#This Row],[6/30/2023]]</f>
        <v>5</v>
      </c>
      <c r="S99" s="4">
        <v>0</v>
      </c>
      <c r="T99" s="4">
        <v>0</v>
      </c>
      <c r="V99" s="4">
        <f>Table13[[#This Row],[2023 Sales]]*2</f>
        <v>0</v>
      </c>
      <c r="W99" s="53">
        <f>IF(Table13[[#This Row],[Double 2023]]&lt;4000,4000,0)</f>
        <v>4000</v>
      </c>
      <c r="X99" s="4">
        <f>MAX(Table13[[#This Row],[Double 2023]:[Min 4K]])</f>
        <v>4000</v>
      </c>
      <c r="Y99" s="96">
        <f>IF(Table13[[#This Row],[Max of goals]]&gt;15000,15000,Table13[[#This Row],[Max of goals]])</f>
        <v>4000</v>
      </c>
    </row>
    <row r="100" spans="1:25" x14ac:dyDescent="0.25">
      <c r="A100" t="s">
        <v>368</v>
      </c>
      <c r="B100" t="s">
        <v>68</v>
      </c>
      <c r="C100" t="s">
        <v>125</v>
      </c>
      <c r="D100" t="s">
        <v>369</v>
      </c>
      <c r="E100" s="53"/>
      <c r="F100" s="53"/>
      <c r="G100" s="53"/>
      <c r="H100" s="53"/>
      <c r="I100" s="53"/>
      <c r="J100" s="53">
        <v>4</v>
      </c>
      <c r="K100" s="53">
        <v>7</v>
      </c>
      <c r="L100" s="53">
        <v>0</v>
      </c>
      <c r="M100" s="53">
        <f>Table13[[#This Row],[12/31/2023]]+1</f>
        <v>5</v>
      </c>
      <c r="N100" s="53">
        <f>Table13[[#This Row],[Recruited 23]]+1</f>
        <v>1</v>
      </c>
      <c r="O100" s="53">
        <f>IF(Table13[[#This Row],[Unit Type]]="Pack",10,12)</f>
        <v>12</v>
      </c>
      <c r="P100" s="53">
        <f>MAX(Table13[[#This Row],[Pack Recruit Goal]:[Min Recruit Goal]])</f>
        <v>12</v>
      </c>
      <c r="Q100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00" s="53">
        <f>Table13[[#This Row],[End Goal]]-Table13[[#This Row],[6/30/2023]]</f>
        <v>12</v>
      </c>
      <c r="V100" s="4">
        <f>Table13[[#This Row],[2023 Sales]]*2</f>
        <v>0</v>
      </c>
      <c r="W100" s="53">
        <f>IF(Table13[[#This Row],[Double 2023]]&lt;4000,4000,0)</f>
        <v>4000</v>
      </c>
      <c r="X100" s="4">
        <f>MAX(Table13[[#This Row],[Double 2023]:[Min 4K]])</f>
        <v>4000</v>
      </c>
      <c r="Y100" s="96">
        <f>IF(Table13[[#This Row],[Max of goals]]&gt;15000,15000,Table13[[#This Row],[Max of goals]])</f>
        <v>4000</v>
      </c>
    </row>
    <row r="101" spans="1:25" x14ac:dyDescent="0.25">
      <c r="A101" t="s">
        <v>322</v>
      </c>
      <c r="B101" t="s">
        <v>58</v>
      </c>
      <c r="C101" t="s">
        <v>125</v>
      </c>
      <c r="D101" t="s">
        <v>156</v>
      </c>
      <c r="E101" s="53">
        <v>5</v>
      </c>
      <c r="F101">
        <v>4</v>
      </c>
      <c r="G101" s="53"/>
      <c r="H101" s="53">
        <v>5</v>
      </c>
      <c r="I101" s="53">
        <v>5</v>
      </c>
      <c r="J101" s="53">
        <v>6</v>
      </c>
      <c r="K101" s="53">
        <v>6</v>
      </c>
      <c r="L101" s="53">
        <v>0</v>
      </c>
      <c r="M101" s="53">
        <f>Table13[[#This Row],[12/31/2023]]+1</f>
        <v>7</v>
      </c>
      <c r="N101" s="53">
        <f>Table13[[#This Row],[Recruited 23]]+1</f>
        <v>1</v>
      </c>
      <c r="O101" s="53">
        <f>IF(Table13[[#This Row],[Unit Type]]="Pack",10,12)</f>
        <v>12</v>
      </c>
      <c r="P101" s="53">
        <f>MAX(Table13[[#This Row],[Pack Recruit Goal]:[Min Recruit Goal]])</f>
        <v>12</v>
      </c>
      <c r="Q101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01" s="53">
        <f>Table13[[#This Row],[End Goal]]-Table13[[#This Row],[6/30/2023]]</f>
        <v>7</v>
      </c>
      <c r="S101" s="4">
        <v>1445</v>
      </c>
      <c r="T101" s="4">
        <v>2445</v>
      </c>
      <c r="V101" s="4">
        <f>Table13[[#This Row],[2023 Sales]]*2</f>
        <v>0</v>
      </c>
      <c r="W101" s="53">
        <f>IF(Table13[[#This Row],[Double 2023]]&lt;4000,4000,0)</f>
        <v>4000</v>
      </c>
      <c r="X101" s="4">
        <f>MAX(Table13[[#This Row],[Double 2023]:[Min 4K]])</f>
        <v>4000</v>
      </c>
      <c r="Y101" s="96">
        <f>IF(Table13[[#This Row],[Max of goals]]&gt;15000,15000,Table13[[#This Row],[Max of goals]])</f>
        <v>4000</v>
      </c>
    </row>
    <row r="102" spans="1:25" x14ac:dyDescent="0.25">
      <c r="A102" t="s">
        <v>323</v>
      </c>
      <c r="B102" t="s">
        <v>68</v>
      </c>
      <c r="C102" t="s">
        <v>125</v>
      </c>
      <c r="D102" t="s">
        <v>157</v>
      </c>
      <c r="E102" s="53">
        <v>7</v>
      </c>
      <c r="F102">
        <v>8</v>
      </c>
      <c r="G102" s="53"/>
      <c r="H102" s="53">
        <v>8</v>
      </c>
      <c r="I102" s="53">
        <v>6</v>
      </c>
      <c r="J102" s="53">
        <v>7</v>
      </c>
      <c r="K102" s="53">
        <v>7</v>
      </c>
      <c r="L102" s="53">
        <v>0</v>
      </c>
      <c r="M102" s="53">
        <f>Table13[[#This Row],[12/31/2023]]+1</f>
        <v>8</v>
      </c>
      <c r="N102" s="53">
        <f>Table13[[#This Row],[Recruited 23]]+1</f>
        <v>1</v>
      </c>
      <c r="O102" s="53">
        <f>IF(Table13[[#This Row],[Unit Type]]="Pack",10,12)</f>
        <v>12</v>
      </c>
      <c r="P102" s="53">
        <f>MAX(Table13[[#This Row],[Pack Recruit Goal]:[Min Recruit Goal]])</f>
        <v>12</v>
      </c>
      <c r="Q102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02" s="53">
        <f>Table13[[#This Row],[End Goal]]-Table13[[#This Row],[6/30/2023]]</f>
        <v>6</v>
      </c>
      <c r="S102" s="4">
        <v>0</v>
      </c>
      <c r="T102" s="4">
        <v>0</v>
      </c>
      <c r="V102" s="4">
        <f>Table13[[#This Row],[2023 Sales]]*2</f>
        <v>0</v>
      </c>
      <c r="W102" s="53">
        <f>IF(Table13[[#This Row],[Double 2023]]&lt;4000,4000,0)</f>
        <v>4000</v>
      </c>
      <c r="X102" s="4">
        <f>MAX(Table13[[#This Row],[Double 2023]:[Min 4K]])</f>
        <v>4000</v>
      </c>
      <c r="Y102" s="96">
        <f>IF(Table13[[#This Row],[Max of goals]]&gt;15000,15000,Table13[[#This Row],[Max of goals]])</f>
        <v>4000</v>
      </c>
    </row>
    <row r="103" spans="1:25" x14ac:dyDescent="0.25">
      <c r="A103" t="s">
        <v>324</v>
      </c>
      <c r="B103" t="s">
        <v>58</v>
      </c>
      <c r="C103" t="s">
        <v>125</v>
      </c>
      <c r="D103" t="s">
        <v>158</v>
      </c>
      <c r="E103" s="53">
        <v>12</v>
      </c>
      <c r="F103">
        <v>9</v>
      </c>
      <c r="G103" s="53"/>
      <c r="H103" s="53">
        <v>9</v>
      </c>
      <c r="I103" s="53">
        <v>10</v>
      </c>
      <c r="J103" s="53">
        <v>3</v>
      </c>
      <c r="K103" s="53">
        <v>0</v>
      </c>
      <c r="L103" s="53">
        <v>0</v>
      </c>
      <c r="M103" s="53">
        <f>Table13[[#This Row],[12/31/2023]]+1</f>
        <v>4</v>
      </c>
      <c r="N103" s="53">
        <f>Table13[[#This Row],[Recruited 23]]+1</f>
        <v>1</v>
      </c>
      <c r="O103" s="53">
        <f>IF(Table13[[#This Row],[Unit Type]]="Pack",10,12)</f>
        <v>12</v>
      </c>
      <c r="P103" s="53">
        <f>MAX(Table13[[#This Row],[Pack Recruit Goal]:[Min Recruit Goal]])</f>
        <v>12</v>
      </c>
      <c r="Q103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03" s="53">
        <f>Table13[[#This Row],[End Goal]]-Table13[[#This Row],[6/30/2023]]</f>
        <v>2</v>
      </c>
      <c r="S103" s="4">
        <v>0</v>
      </c>
      <c r="T103" s="4">
        <v>0</v>
      </c>
      <c r="V103" s="4">
        <f>Table13[[#This Row],[2023 Sales]]*2</f>
        <v>0</v>
      </c>
      <c r="W103" s="53">
        <f>IF(Table13[[#This Row],[Double 2023]]&lt;4000,4000,0)</f>
        <v>4000</v>
      </c>
      <c r="X103" s="4">
        <f>MAX(Table13[[#This Row],[Double 2023]:[Min 4K]])</f>
        <v>4000</v>
      </c>
      <c r="Y103" s="96">
        <f>IF(Table13[[#This Row],[Max of goals]]&gt;15000,15000,Table13[[#This Row],[Max of goals]])</f>
        <v>4000</v>
      </c>
    </row>
    <row r="104" spans="1:25" x14ac:dyDescent="0.25">
      <c r="A104" t="s">
        <v>325</v>
      </c>
      <c r="B104" t="s">
        <v>68</v>
      </c>
      <c r="C104" t="s">
        <v>125</v>
      </c>
      <c r="D104" t="s">
        <v>159</v>
      </c>
      <c r="E104" s="53">
        <v>23</v>
      </c>
      <c r="F104">
        <v>16</v>
      </c>
      <c r="G104" s="53"/>
      <c r="H104" s="53">
        <v>16</v>
      </c>
      <c r="I104" s="53">
        <v>11</v>
      </c>
      <c r="J104" s="53">
        <v>11</v>
      </c>
      <c r="K104" s="53">
        <v>10</v>
      </c>
      <c r="L104" s="53">
        <v>0</v>
      </c>
      <c r="M104" s="53">
        <f>Table13[[#This Row],[12/31/2023]]+1</f>
        <v>12</v>
      </c>
      <c r="N104" s="53">
        <f>Table13[[#This Row],[Recruited 23]]+1</f>
        <v>1</v>
      </c>
      <c r="O104" s="53">
        <f>IF(Table13[[#This Row],[Unit Type]]="Pack",10,12)</f>
        <v>12</v>
      </c>
      <c r="P104" s="53">
        <f>MAX(Table13[[#This Row],[Pack Recruit Goal]:[Min Recruit Goal]])</f>
        <v>12</v>
      </c>
      <c r="Q104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04" s="53">
        <f>Table13[[#This Row],[End Goal]]-Table13[[#This Row],[6/30/2023]]</f>
        <v>1</v>
      </c>
      <c r="S104" s="4">
        <v>0</v>
      </c>
      <c r="T104" s="4">
        <v>0</v>
      </c>
      <c r="V104" s="4">
        <f>Table13[[#This Row],[2023 Sales]]*2</f>
        <v>0</v>
      </c>
      <c r="W104" s="53">
        <f>IF(Table13[[#This Row],[Double 2023]]&lt;4000,4000,0)</f>
        <v>4000</v>
      </c>
      <c r="X104" s="4">
        <f>MAX(Table13[[#This Row],[Double 2023]:[Min 4K]])</f>
        <v>4000</v>
      </c>
      <c r="Y104" s="96">
        <f>IF(Table13[[#This Row],[Max of goals]]&gt;15000,15000,Table13[[#This Row],[Max of goals]])</f>
        <v>4000</v>
      </c>
    </row>
    <row r="105" spans="1:25" x14ac:dyDescent="0.25">
      <c r="A105" t="s">
        <v>326</v>
      </c>
      <c r="B105" t="s">
        <v>62</v>
      </c>
      <c r="C105" t="s">
        <v>125</v>
      </c>
      <c r="D105" t="s">
        <v>160</v>
      </c>
      <c r="E105" s="53">
        <v>15</v>
      </c>
      <c r="F105">
        <v>18</v>
      </c>
      <c r="G105" s="53"/>
      <c r="H105" s="53">
        <v>20</v>
      </c>
      <c r="I105" s="53">
        <v>15</v>
      </c>
      <c r="J105" s="53">
        <v>14</v>
      </c>
      <c r="K105" s="53">
        <v>15</v>
      </c>
      <c r="L105" s="53">
        <v>0</v>
      </c>
      <c r="M105" s="53">
        <f>Table13[[#This Row],[12/31/2023]]+1</f>
        <v>15</v>
      </c>
      <c r="N105" s="53">
        <f>Table13[[#This Row],[Recruited 23]]+1</f>
        <v>1</v>
      </c>
      <c r="O105" s="53">
        <f>IF(Table13[[#This Row],[Unit Type]]="Pack",10,12)</f>
        <v>12</v>
      </c>
      <c r="P105" s="53">
        <f>MAX(Table13[[#This Row],[Pack Recruit Goal]:[Min Recruit Goal]])</f>
        <v>12</v>
      </c>
      <c r="Q105" s="53">
        <f>IF(Table13[[#This Row],[Unit Type]]="Pack",Table13[[#This Row],[Pack Recruit Growth Goal]],IF(Table13[[#This Row],[Troop Growth Goal]]&gt;11,Table13[[#This Row],[Troop Growth Goal]],Table13[[#This Row],[Min Recruit Goal]]))</f>
        <v>15</v>
      </c>
      <c r="R105" s="53">
        <f>Table13[[#This Row],[End Goal]]-Table13[[#This Row],[6/30/2023]]</f>
        <v>0</v>
      </c>
      <c r="S105" s="4">
        <v>5804.77</v>
      </c>
      <c r="T105" s="4">
        <v>4730</v>
      </c>
      <c r="U105" s="4">
        <v>7498</v>
      </c>
      <c r="V105" s="4">
        <f>Table13[[#This Row],[2023 Sales]]*2</f>
        <v>14996</v>
      </c>
      <c r="W105" s="53">
        <f>IF(Table13[[#This Row],[Double 2023]]&lt;4000,4000,0)</f>
        <v>0</v>
      </c>
      <c r="X105" s="4">
        <f>MAX(Table13[[#This Row],[Double 2023]:[Min 4K]])</f>
        <v>14996</v>
      </c>
      <c r="Y105" s="96">
        <f>IF(Table13[[#This Row],[Max of goals]]&gt;15000,15000,Table13[[#This Row],[Max of goals]])</f>
        <v>14996</v>
      </c>
    </row>
    <row r="106" spans="1:25" x14ac:dyDescent="0.25">
      <c r="A106" t="s">
        <v>327</v>
      </c>
      <c r="B106" t="s">
        <v>62</v>
      </c>
      <c r="C106" t="s">
        <v>125</v>
      </c>
      <c r="D106" t="s">
        <v>161</v>
      </c>
      <c r="E106" s="53">
        <v>42</v>
      </c>
      <c r="F106">
        <v>28</v>
      </c>
      <c r="G106" s="53"/>
      <c r="H106" s="53">
        <v>32</v>
      </c>
      <c r="I106" s="53">
        <v>22</v>
      </c>
      <c r="J106" s="53">
        <v>24</v>
      </c>
      <c r="K106" s="53">
        <v>25</v>
      </c>
      <c r="L106" s="53">
        <v>1</v>
      </c>
      <c r="M106" s="53">
        <f>Table13[[#This Row],[12/31/2023]]+1</f>
        <v>25</v>
      </c>
      <c r="N106" s="53">
        <f>Table13[[#This Row],[Recruited 23]]+1</f>
        <v>2</v>
      </c>
      <c r="O106" s="53">
        <f>IF(Table13[[#This Row],[Unit Type]]="Pack",10,12)</f>
        <v>12</v>
      </c>
      <c r="P106" s="53">
        <f>MAX(Table13[[#This Row],[Pack Recruit Goal]:[Min Recruit Goal]])</f>
        <v>12</v>
      </c>
      <c r="Q106" s="53">
        <f>IF(Table13[[#This Row],[Unit Type]]="Pack",Table13[[#This Row],[Pack Recruit Growth Goal]],IF(Table13[[#This Row],[Troop Growth Goal]]&gt;11,Table13[[#This Row],[Troop Growth Goal]],Table13[[#This Row],[Min Recruit Goal]]))</f>
        <v>25</v>
      </c>
      <c r="R106" s="53">
        <f>Table13[[#This Row],[End Goal]]-Table13[[#This Row],[6/30/2023]]</f>
        <v>3</v>
      </c>
      <c r="S106" s="4">
        <v>5451.83</v>
      </c>
      <c r="T106" s="4">
        <v>2996</v>
      </c>
      <c r="U106" s="4">
        <v>3317</v>
      </c>
      <c r="V106" s="4">
        <f>Table13[[#This Row],[2023 Sales]]*2</f>
        <v>6634</v>
      </c>
      <c r="W106" s="53">
        <f>IF(Table13[[#This Row],[Double 2023]]&lt;4000,4000,0)</f>
        <v>0</v>
      </c>
      <c r="X106" s="4">
        <f>MAX(Table13[[#This Row],[Double 2023]:[Min 4K]])</f>
        <v>6634</v>
      </c>
      <c r="Y106" s="96">
        <f>IF(Table13[[#This Row],[Max of goals]]&gt;15000,15000,Table13[[#This Row],[Max of goals]])</f>
        <v>6634</v>
      </c>
    </row>
    <row r="107" spans="1:25" x14ac:dyDescent="0.25">
      <c r="A107" t="s">
        <v>328</v>
      </c>
      <c r="B107" t="s">
        <v>62</v>
      </c>
      <c r="C107" t="s">
        <v>125</v>
      </c>
      <c r="D107" t="s">
        <v>162</v>
      </c>
      <c r="E107" s="53">
        <v>6</v>
      </c>
      <c r="F107">
        <v>5</v>
      </c>
      <c r="G107" s="53"/>
      <c r="H107" s="53">
        <v>7</v>
      </c>
      <c r="I107" s="53">
        <v>6</v>
      </c>
      <c r="J107" s="53">
        <v>7</v>
      </c>
      <c r="K107" s="53">
        <v>8</v>
      </c>
      <c r="L107" s="53">
        <v>0</v>
      </c>
      <c r="M107" s="53">
        <f>Table13[[#This Row],[12/31/2023]]+1</f>
        <v>8</v>
      </c>
      <c r="N107" s="53">
        <f>Table13[[#This Row],[Recruited 23]]+1</f>
        <v>1</v>
      </c>
      <c r="O107" s="53">
        <f>IF(Table13[[#This Row],[Unit Type]]="Pack",10,12)</f>
        <v>12</v>
      </c>
      <c r="P107" s="53">
        <f>MAX(Table13[[#This Row],[Pack Recruit Goal]:[Min Recruit Goal]])</f>
        <v>12</v>
      </c>
      <c r="Q107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07" s="53">
        <f>Table13[[#This Row],[End Goal]]-Table13[[#This Row],[6/30/2023]]</f>
        <v>6</v>
      </c>
      <c r="S107" s="4">
        <v>1070</v>
      </c>
      <c r="T107" s="4">
        <v>0</v>
      </c>
      <c r="U107" s="4">
        <v>1420</v>
      </c>
      <c r="V107" s="4">
        <f>Table13[[#This Row],[2023 Sales]]*2</f>
        <v>2840</v>
      </c>
      <c r="W107" s="53">
        <f>IF(Table13[[#This Row],[Double 2023]]&lt;4000,4000,0)</f>
        <v>4000</v>
      </c>
      <c r="X107" s="4">
        <f>MAX(Table13[[#This Row],[Double 2023]:[Min 4K]])</f>
        <v>4000</v>
      </c>
      <c r="Y107" s="96">
        <f>IF(Table13[[#This Row],[Max of goals]]&gt;15000,15000,Table13[[#This Row],[Max of goals]])</f>
        <v>4000</v>
      </c>
    </row>
    <row r="108" spans="1:25" x14ac:dyDescent="0.25">
      <c r="A108" t="s">
        <v>329</v>
      </c>
      <c r="B108" t="s">
        <v>68</v>
      </c>
      <c r="C108" t="s">
        <v>125</v>
      </c>
      <c r="D108" t="s">
        <v>163</v>
      </c>
      <c r="E108" s="53">
        <v>16</v>
      </c>
      <c r="F108">
        <v>13</v>
      </c>
      <c r="G108" s="53"/>
      <c r="H108" s="53">
        <v>13</v>
      </c>
      <c r="I108" s="53">
        <v>11</v>
      </c>
      <c r="J108" s="53">
        <v>11</v>
      </c>
      <c r="K108" s="53">
        <v>2</v>
      </c>
      <c r="L108" s="53">
        <v>0</v>
      </c>
      <c r="M108" s="53">
        <f>Table13[[#This Row],[12/31/2023]]+1</f>
        <v>12</v>
      </c>
      <c r="N108" s="53">
        <f>Table13[[#This Row],[Recruited 23]]+1</f>
        <v>1</v>
      </c>
      <c r="O108" s="53">
        <f>IF(Table13[[#This Row],[Unit Type]]="Pack",10,12)</f>
        <v>12</v>
      </c>
      <c r="P108" s="53">
        <f>MAX(Table13[[#This Row],[Pack Recruit Goal]:[Min Recruit Goal]])</f>
        <v>12</v>
      </c>
      <c r="Q108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08" s="53">
        <f>Table13[[#This Row],[End Goal]]-Table13[[#This Row],[6/30/2023]]</f>
        <v>1</v>
      </c>
      <c r="S108" s="4">
        <v>509.87</v>
      </c>
      <c r="T108" s="4">
        <v>2865</v>
      </c>
      <c r="V108" s="4">
        <f>Table13[[#This Row],[2023 Sales]]*2</f>
        <v>0</v>
      </c>
      <c r="W108" s="53">
        <f>IF(Table13[[#This Row],[Double 2023]]&lt;4000,4000,0)</f>
        <v>4000</v>
      </c>
      <c r="X108" s="4">
        <f>MAX(Table13[[#This Row],[Double 2023]:[Min 4K]])</f>
        <v>4000</v>
      </c>
      <c r="Y108" s="96">
        <f>IF(Table13[[#This Row],[Max of goals]]&gt;15000,15000,Table13[[#This Row],[Max of goals]])</f>
        <v>4000</v>
      </c>
    </row>
    <row r="109" spans="1:25" x14ac:dyDescent="0.25">
      <c r="A109" t="s">
        <v>330</v>
      </c>
      <c r="B109" t="s">
        <v>68</v>
      </c>
      <c r="C109" t="s">
        <v>125</v>
      </c>
      <c r="D109" t="s">
        <v>164</v>
      </c>
      <c r="E109" s="53">
        <v>22</v>
      </c>
      <c r="F109">
        <v>18</v>
      </c>
      <c r="G109" s="53"/>
      <c r="H109" s="53">
        <v>19</v>
      </c>
      <c r="I109" s="53">
        <v>13</v>
      </c>
      <c r="J109" s="53">
        <v>13</v>
      </c>
      <c r="K109" s="53">
        <v>6</v>
      </c>
      <c r="L109" s="53">
        <v>0</v>
      </c>
      <c r="M109" s="53">
        <f>Table13[[#This Row],[12/31/2023]]+1</f>
        <v>14</v>
      </c>
      <c r="N109" s="53">
        <f>Table13[[#This Row],[Recruited 23]]+1</f>
        <v>1</v>
      </c>
      <c r="O109" s="53">
        <f>IF(Table13[[#This Row],[Unit Type]]="Pack",10,12)</f>
        <v>12</v>
      </c>
      <c r="P109" s="53">
        <f>MAX(Table13[[#This Row],[Pack Recruit Goal]:[Min Recruit Goal]])</f>
        <v>12</v>
      </c>
      <c r="Q109" s="53">
        <f>IF(Table13[[#This Row],[Unit Type]]="Pack",Table13[[#This Row],[Pack Recruit Growth Goal]],IF(Table13[[#This Row],[Troop Growth Goal]]&gt;11,Table13[[#This Row],[Troop Growth Goal]],Table13[[#This Row],[Min Recruit Goal]]))</f>
        <v>14</v>
      </c>
      <c r="R109" s="53">
        <f>Table13[[#This Row],[End Goal]]-Table13[[#This Row],[6/30/2023]]</f>
        <v>1</v>
      </c>
      <c r="S109" s="4">
        <v>0</v>
      </c>
      <c r="T109" s="4">
        <v>0</v>
      </c>
      <c r="V109" s="4">
        <f>Table13[[#This Row],[2023 Sales]]*2</f>
        <v>0</v>
      </c>
      <c r="W109" s="53">
        <f>IF(Table13[[#This Row],[Double 2023]]&lt;4000,4000,0)</f>
        <v>4000</v>
      </c>
      <c r="X109" s="4">
        <f>MAX(Table13[[#This Row],[Double 2023]:[Min 4K]])</f>
        <v>4000</v>
      </c>
      <c r="Y109" s="96">
        <f>IF(Table13[[#This Row],[Max of goals]]&gt;15000,15000,Table13[[#This Row],[Max of goals]])</f>
        <v>4000</v>
      </c>
    </row>
    <row r="110" spans="1:25" x14ac:dyDescent="0.25">
      <c r="A110" t="s">
        <v>331</v>
      </c>
      <c r="B110" t="s">
        <v>65</v>
      </c>
      <c r="C110" t="s">
        <v>125</v>
      </c>
      <c r="D110" t="s">
        <v>165</v>
      </c>
      <c r="E110" s="53">
        <v>33</v>
      </c>
      <c r="F110">
        <v>29</v>
      </c>
      <c r="G110" s="53"/>
      <c r="H110" s="53">
        <v>32</v>
      </c>
      <c r="I110" s="53">
        <v>42</v>
      </c>
      <c r="J110" s="53">
        <v>42</v>
      </c>
      <c r="K110" s="53">
        <v>32</v>
      </c>
      <c r="L110" s="53">
        <v>1</v>
      </c>
      <c r="M110" s="53">
        <f>Table13[[#This Row],[12/31/2023]]+1</f>
        <v>43</v>
      </c>
      <c r="N110" s="53">
        <f>Table13[[#This Row],[Recruited 23]]+1</f>
        <v>2</v>
      </c>
      <c r="O110" s="53">
        <f>IF(Table13[[#This Row],[Unit Type]]="Pack",10,12)</f>
        <v>12</v>
      </c>
      <c r="P110" s="53">
        <f>MAX(Table13[[#This Row],[Pack Recruit Goal]:[Min Recruit Goal]])</f>
        <v>12</v>
      </c>
      <c r="Q110" s="53">
        <f>IF(Table13[[#This Row],[Unit Type]]="Pack",Table13[[#This Row],[Pack Recruit Growth Goal]],IF(Table13[[#This Row],[Troop Growth Goal]]&gt;11,Table13[[#This Row],[Troop Growth Goal]],Table13[[#This Row],[Min Recruit Goal]]))</f>
        <v>43</v>
      </c>
      <c r="R110" s="53">
        <f>Table13[[#This Row],[End Goal]]-Table13[[#This Row],[6/30/2023]]</f>
        <v>1</v>
      </c>
      <c r="S110" s="4">
        <v>0</v>
      </c>
      <c r="T110" s="4">
        <v>0</v>
      </c>
      <c r="V110" s="4">
        <f>Table13[[#This Row],[2023 Sales]]*2</f>
        <v>0</v>
      </c>
      <c r="W110" s="53">
        <f>IF(Table13[[#This Row],[Double 2023]]&lt;4000,4000,0)</f>
        <v>4000</v>
      </c>
      <c r="X110" s="4">
        <f>MAX(Table13[[#This Row],[Double 2023]:[Min 4K]])</f>
        <v>4000</v>
      </c>
      <c r="Y110" s="96">
        <f>IF(Table13[[#This Row],[Max of goals]]&gt;15000,15000,Table13[[#This Row],[Max of goals]])</f>
        <v>4000</v>
      </c>
    </row>
    <row r="111" spans="1:25" x14ac:dyDescent="0.25">
      <c r="A111" t="s">
        <v>332</v>
      </c>
      <c r="B111" t="s">
        <v>65</v>
      </c>
      <c r="C111" t="s">
        <v>125</v>
      </c>
      <c r="D111" t="s">
        <v>224</v>
      </c>
      <c r="E111" s="53"/>
      <c r="F111" s="53"/>
      <c r="G111" s="53"/>
      <c r="H111" s="53"/>
      <c r="I111" s="53">
        <v>4</v>
      </c>
      <c r="J111" s="53">
        <v>8</v>
      </c>
      <c r="K111" s="53">
        <v>10</v>
      </c>
      <c r="L111" s="53">
        <v>6</v>
      </c>
      <c r="M111" s="53">
        <f>Table13[[#This Row],[12/31/2023]]+1</f>
        <v>9</v>
      </c>
      <c r="N111" s="53">
        <f>Table13[[#This Row],[Recruited 23]]+1</f>
        <v>7</v>
      </c>
      <c r="O111" s="53">
        <f>IF(Table13[[#This Row],[Unit Type]]="Pack",10,12)</f>
        <v>12</v>
      </c>
      <c r="P111" s="53">
        <f>MAX(Table13[[#This Row],[Pack Recruit Goal]:[Min Recruit Goal]])</f>
        <v>12</v>
      </c>
      <c r="Q111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11" s="53">
        <f>Table13[[#This Row],[End Goal]]-Table13[[#This Row],[6/30/2023]]</f>
        <v>8</v>
      </c>
      <c r="T111" s="4">
        <v>0</v>
      </c>
      <c r="V111" s="4">
        <f>Table13[[#This Row],[2023 Sales]]*2</f>
        <v>0</v>
      </c>
      <c r="W111" s="53">
        <f>IF(Table13[[#This Row],[Double 2023]]&lt;4000,4000,0)</f>
        <v>4000</v>
      </c>
      <c r="X111" s="4">
        <f>MAX(Table13[[#This Row],[Double 2023]:[Min 4K]])</f>
        <v>4000</v>
      </c>
      <c r="Y111" s="96">
        <f>IF(Table13[[#This Row],[Max of goals]]&gt;15000,15000,Table13[[#This Row],[Max of goals]])</f>
        <v>4000</v>
      </c>
    </row>
    <row r="112" spans="1:25" x14ac:dyDescent="0.25">
      <c r="A112" t="s">
        <v>333</v>
      </c>
      <c r="B112" t="s">
        <v>62</v>
      </c>
      <c r="C112" t="s">
        <v>125</v>
      </c>
      <c r="D112" t="s">
        <v>166</v>
      </c>
      <c r="E112" s="53">
        <v>13</v>
      </c>
      <c r="F112">
        <v>17</v>
      </c>
      <c r="G112" s="53"/>
      <c r="H112" s="53">
        <v>19</v>
      </c>
      <c r="I112" s="53">
        <v>12</v>
      </c>
      <c r="J112" s="53">
        <v>13</v>
      </c>
      <c r="K112" s="53">
        <v>7</v>
      </c>
      <c r="L112" s="53">
        <v>0</v>
      </c>
      <c r="M112" s="53">
        <f>Table13[[#This Row],[12/31/2023]]+1</f>
        <v>14</v>
      </c>
      <c r="N112" s="53">
        <f>Table13[[#This Row],[Recruited 23]]+1</f>
        <v>1</v>
      </c>
      <c r="O112" s="53">
        <f>IF(Table13[[#This Row],[Unit Type]]="Pack",10,12)</f>
        <v>12</v>
      </c>
      <c r="P112" s="53">
        <f>MAX(Table13[[#This Row],[Pack Recruit Goal]:[Min Recruit Goal]])</f>
        <v>12</v>
      </c>
      <c r="Q112" s="53">
        <f>IF(Table13[[#This Row],[Unit Type]]="Pack",Table13[[#This Row],[Pack Recruit Growth Goal]],IF(Table13[[#This Row],[Troop Growth Goal]]&gt;11,Table13[[#This Row],[Troop Growth Goal]],Table13[[#This Row],[Min Recruit Goal]]))</f>
        <v>14</v>
      </c>
      <c r="R112" s="53">
        <f>Table13[[#This Row],[End Goal]]-Table13[[#This Row],[6/30/2023]]</f>
        <v>2</v>
      </c>
      <c r="S112" s="4">
        <v>0</v>
      </c>
      <c r="T112" s="4">
        <v>260</v>
      </c>
      <c r="V112" s="4">
        <f>Table13[[#This Row],[2023 Sales]]*2</f>
        <v>0</v>
      </c>
      <c r="W112" s="53">
        <f>IF(Table13[[#This Row],[Double 2023]]&lt;4000,4000,0)</f>
        <v>4000</v>
      </c>
      <c r="X112" s="4">
        <f>MAX(Table13[[#This Row],[Double 2023]:[Min 4K]])</f>
        <v>4000</v>
      </c>
      <c r="Y112" s="96">
        <f>IF(Table13[[#This Row],[Max of goals]]&gt;15000,15000,Table13[[#This Row],[Max of goals]])</f>
        <v>4000</v>
      </c>
    </row>
    <row r="113" spans="1:25" x14ac:dyDescent="0.25">
      <c r="A113" t="s">
        <v>334</v>
      </c>
      <c r="B113" t="s">
        <v>62</v>
      </c>
      <c r="C113" t="s">
        <v>125</v>
      </c>
      <c r="D113" t="s">
        <v>167</v>
      </c>
      <c r="E113" s="53">
        <v>9</v>
      </c>
      <c r="F113">
        <v>7</v>
      </c>
      <c r="G113" s="53"/>
      <c r="H113" s="53">
        <v>7</v>
      </c>
      <c r="I113" s="53">
        <v>6</v>
      </c>
      <c r="J113" s="53">
        <v>6</v>
      </c>
      <c r="K113" s="53">
        <v>5</v>
      </c>
      <c r="L113" s="53">
        <v>0</v>
      </c>
      <c r="M113" s="53">
        <f>Table13[[#This Row],[12/31/2023]]+1</f>
        <v>7</v>
      </c>
      <c r="N113" s="53">
        <f>Table13[[#This Row],[Recruited 23]]+1</f>
        <v>1</v>
      </c>
      <c r="O113" s="53">
        <f>IF(Table13[[#This Row],[Unit Type]]="Pack",10,12)</f>
        <v>12</v>
      </c>
      <c r="P113" s="53">
        <f>MAX(Table13[[#This Row],[Pack Recruit Goal]:[Min Recruit Goal]])</f>
        <v>12</v>
      </c>
      <c r="Q113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13" s="53">
        <f>Table13[[#This Row],[End Goal]]-Table13[[#This Row],[6/30/2023]]</f>
        <v>6</v>
      </c>
      <c r="S113" s="4">
        <v>0</v>
      </c>
      <c r="T113" s="4">
        <v>0</v>
      </c>
      <c r="V113" s="4">
        <f>Table13[[#This Row],[2023 Sales]]*2</f>
        <v>0</v>
      </c>
      <c r="W113" s="53">
        <f>IF(Table13[[#This Row],[Double 2023]]&lt;4000,4000,0)</f>
        <v>4000</v>
      </c>
      <c r="X113" s="4">
        <f>MAX(Table13[[#This Row],[Double 2023]:[Min 4K]])</f>
        <v>4000</v>
      </c>
      <c r="Y113" s="96">
        <f>IF(Table13[[#This Row],[Max of goals]]&gt;15000,15000,Table13[[#This Row],[Max of goals]])</f>
        <v>4000</v>
      </c>
    </row>
    <row r="114" spans="1:25" x14ac:dyDescent="0.25">
      <c r="A114" t="s">
        <v>335</v>
      </c>
      <c r="B114" t="s">
        <v>62</v>
      </c>
      <c r="C114" t="s">
        <v>125</v>
      </c>
      <c r="D114" t="s">
        <v>168</v>
      </c>
      <c r="E114" s="53">
        <v>16</v>
      </c>
      <c r="F114">
        <v>14</v>
      </c>
      <c r="G114" s="53"/>
      <c r="H114" s="53">
        <v>15</v>
      </c>
      <c r="I114" s="53">
        <v>11</v>
      </c>
      <c r="J114" s="53">
        <v>11</v>
      </c>
      <c r="K114" s="53">
        <v>10</v>
      </c>
      <c r="L114" s="53">
        <v>0</v>
      </c>
      <c r="M114" s="53">
        <f>Table13[[#This Row],[12/31/2023]]+1</f>
        <v>12</v>
      </c>
      <c r="N114" s="53">
        <f>Table13[[#This Row],[Recruited 23]]+1</f>
        <v>1</v>
      </c>
      <c r="O114" s="53">
        <f>IF(Table13[[#This Row],[Unit Type]]="Pack",10,12)</f>
        <v>12</v>
      </c>
      <c r="P114" s="53">
        <f>MAX(Table13[[#This Row],[Pack Recruit Goal]:[Min Recruit Goal]])</f>
        <v>12</v>
      </c>
      <c r="Q114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14" s="53">
        <f>Table13[[#This Row],[End Goal]]-Table13[[#This Row],[6/30/2023]]</f>
        <v>1</v>
      </c>
      <c r="S114" s="4">
        <v>424.98</v>
      </c>
      <c r="T114" s="4">
        <v>0</v>
      </c>
      <c r="U114" s="4">
        <v>1423</v>
      </c>
      <c r="V114" s="4">
        <f>Table13[[#This Row],[2023 Sales]]*2</f>
        <v>2846</v>
      </c>
      <c r="W114" s="53">
        <f>IF(Table13[[#This Row],[Double 2023]]&lt;4000,4000,0)</f>
        <v>4000</v>
      </c>
      <c r="X114" s="4">
        <f>MAX(Table13[[#This Row],[Double 2023]:[Min 4K]])</f>
        <v>4000</v>
      </c>
      <c r="Y114" s="96">
        <f>IF(Table13[[#This Row],[Max of goals]]&gt;15000,15000,Table13[[#This Row],[Max of goals]])</f>
        <v>4000</v>
      </c>
    </row>
    <row r="115" spans="1:25" x14ac:dyDescent="0.25">
      <c r="A115" t="s">
        <v>336</v>
      </c>
      <c r="B115" t="s">
        <v>62</v>
      </c>
      <c r="C115" t="s">
        <v>125</v>
      </c>
      <c r="D115" t="s">
        <v>169</v>
      </c>
      <c r="E115" s="53">
        <v>20</v>
      </c>
      <c r="F115">
        <v>14</v>
      </c>
      <c r="G115" s="53"/>
      <c r="H115" s="53">
        <v>15</v>
      </c>
      <c r="I115" s="53">
        <v>13</v>
      </c>
      <c r="J115" s="53">
        <v>15</v>
      </c>
      <c r="K115" s="53">
        <v>9</v>
      </c>
      <c r="L115" s="53">
        <v>2</v>
      </c>
      <c r="M115" s="53">
        <f>Table13[[#This Row],[12/31/2023]]+1</f>
        <v>16</v>
      </c>
      <c r="N115" s="53">
        <f>Table13[[#This Row],[Recruited 23]]+1</f>
        <v>3</v>
      </c>
      <c r="O115" s="53">
        <f>IF(Table13[[#This Row],[Unit Type]]="Pack",10,12)</f>
        <v>12</v>
      </c>
      <c r="P115" s="53">
        <f>MAX(Table13[[#This Row],[Pack Recruit Goal]:[Min Recruit Goal]])</f>
        <v>12</v>
      </c>
      <c r="Q115" s="53">
        <f>IF(Table13[[#This Row],[Unit Type]]="Pack",Table13[[#This Row],[Pack Recruit Growth Goal]],IF(Table13[[#This Row],[Troop Growth Goal]]&gt;11,Table13[[#This Row],[Troop Growth Goal]],Table13[[#This Row],[Min Recruit Goal]]))</f>
        <v>16</v>
      </c>
      <c r="R115" s="53">
        <f>Table13[[#This Row],[End Goal]]-Table13[[#This Row],[6/30/2023]]</f>
        <v>3</v>
      </c>
      <c r="S115" s="4">
        <v>2634.75</v>
      </c>
      <c r="T115" s="4">
        <v>1274</v>
      </c>
      <c r="U115" s="4">
        <v>1363</v>
      </c>
      <c r="V115" s="4">
        <f>Table13[[#This Row],[2023 Sales]]*2</f>
        <v>2726</v>
      </c>
      <c r="W115" s="53">
        <f>IF(Table13[[#This Row],[Double 2023]]&lt;4000,4000,0)</f>
        <v>4000</v>
      </c>
      <c r="X115" s="4">
        <f>MAX(Table13[[#This Row],[Double 2023]:[Min 4K]])</f>
        <v>4000</v>
      </c>
      <c r="Y115" s="96">
        <f>IF(Table13[[#This Row],[Max of goals]]&gt;15000,15000,Table13[[#This Row],[Max of goals]])</f>
        <v>4000</v>
      </c>
    </row>
    <row r="116" spans="1:25" x14ac:dyDescent="0.25">
      <c r="A116" t="s">
        <v>337</v>
      </c>
      <c r="B116" t="s">
        <v>62</v>
      </c>
      <c r="C116" t="s">
        <v>125</v>
      </c>
      <c r="D116" t="s">
        <v>170</v>
      </c>
      <c r="E116" s="53">
        <v>25</v>
      </c>
      <c r="F116">
        <v>20</v>
      </c>
      <c r="G116" s="53"/>
      <c r="H116" s="53">
        <v>22</v>
      </c>
      <c r="I116" s="53">
        <v>22</v>
      </c>
      <c r="J116" s="53">
        <v>23</v>
      </c>
      <c r="K116" s="53">
        <v>22</v>
      </c>
      <c r="L116" s="53">
        <v>0</v>
      </c>
      <c r="M116" s="53">
        <f>Table13[[#This Row],[12/31/2023]]+1</f>
        <v>24</v>
      </c>
      <c r="N116" s="53">
        <f>Table13[[#This Row],[Recruited 23]]+1</f>
        <v>1</v>
      </c>
      <c r="O116" s="53">
        <f>IF(Table13[[#This Row],[Unit Type]]="Pack",10,12)</f>
        <v>12</v>
      </c>
      <c r="P116" s="53">
        <f>MAX(Table13[[#This Row],[Pack Recruit Goal]:[Min Recruit Goal]])</f>
        <v>12</v>
      </c>
      <c r="Q116" s="53">
        <f>IF(Table13[[#This Row],[Unit Type]]="Pack",Table13[[#This Row],[Pack Recruit Growth Goal]],IF(Table13[[#This Row],[Troop Growth Goal]]&gt;11,Table13[[#This Row],[Troop Growth Goal]],Table13[[#This Row],[Min Recruit Goal]]))</f>
        <v>24</v>
      </c>
      <c r="R116" s="53">
        <f>Table13[[#This Row],[End Goal]]-Table13[[#This Row],[6/30/2023]]</f>
        <v>2</v>
      </c>
      <c r="S116" s="4">
        <v>16518.66</v>
      </c>
      <c r="T116" s="4">
        <v>20227</v>
      </c>
      <c r="U116" s="4">
        <v>21128</v>
      </c>
      <c r="V116" s="4">
        <f>Table13[[#This Row],[2023 Sales]]*2</f>
        <v>42256</v>
      </c>
      <c r="W116" s="53">
        <f>IF(Table13[[#This Row],[Double 2023]]&lt;4000,4000,0)</f>
        <v>0</v>
      </c>
      <c r="X116" s="4">
        <f>MAX(Table13[[#This Row],[Double 2023]:[Min 4K]])</f>
        <v>42256</v>
      </c>
      <c r="Y116" s="96">
        <f>IF(Table13[[#This Row],[Max of goals]]&gt;15000,15000,Table13[[#This Row],[Max of goals]])</f>
        <v>15000</v>
      </c>
    </row>
    <row r="117" spans="1:25" x14ac:dyDescent="0.25">
      <c r="A117" t="s">
        <v>338</v>
      </c>
      <c r="B117" t="s">
        <v>62</v>
      </c>
      <c r="C117" t="s">
        <v>125</v>
      </c>
      <c r="D117" t="s">
        <v>171</v>
      </c>
      <c r="E117" s="53">
        <v>10</v>
      </c>
      <c r="F117">
        <v>4</v>
      </c>
      <c r="G117" s="53"/>
      <c r="H117" s="53"/>
      <c r="I117" s="53"/>
      <c r="J117" s="53">
        <v>0</v>
      </c>
      <c r="K117" s="53">
        <v>0</v>
      </c>
      <c r="L117" s="53">
        <v>0</v>
      </c>
      <c r="M117" s="53">
        <f>Table13[[#This Row],[12/31/2023]]+1</f>
        <v>1</v>
      </c>
      <c r="N117" s="53">
        <f>Table13[[#This Row],[Recruited 23]]+1</f>
        <v>1</v>
      </c>
      <c r="O117" s="53">
        <f>IF(Table13[[#This Row],[Unit Type]]="Pack",10,12)</f>
        <v>12</v>
      </c>
      <c r="P117" s="53">
        <f>MAX(Table13[[#This Row],[Pack Recruit Goal]:[Min Recruit Goal]])</f>
        <v>12</v>
      </c>
      <c r="Q117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17" s="53">
        <f>Table13[[#This Row],[End Goal]]-Table13[[#This Row],[6/30/2023]]</f>
        <v>12</v>
      </c>
      <c r="S117" s="4">
        <v>2114.87</v>
      </c>
      <c r="T117" s="4">
        <v>0</v>
      </c>
      <c r="V117" s="4">
        <f>Table13[[#This Row],[2023 Sales]]*2</f>
        <v>0</v>
      </c>
      <c r="W117" s="53">
        <f>IF(Table13[[#This Row],[Double 2023]]&lt;4000,4000,0)</f>
        <v>4000</v>
      </c>
      <c r="X117" s="4">
        <f>MAX(Table13[[#This Row],[Double 2023]:[Min 4K]])</f>
        <v>4000</v>
      </c>
      <c r="Y117" s="96">
        <f>IF(Table13[[#This Row],[Max of goals]]&gt;15000,15000,Table13[[#This Row],[Max of goals]])</f>
        <v>4000</v>
      </c>
    </row>
    <row r="118" spans="1:25" x14ac:dyDescent="0.25">
      <c r="A118" t="s">
        <v>339</v>
      </c>
      <c r="B118" t="s">
        <v>62</v>
      </c>
      <c r="C118" t="s">
        <v>125</v>
      </c>
      <c r="D118" t="s">
        <v>172</v>
      </c>
      <c r="E118" s="53">
        <v>14</v>
      </c>
      <c r="F118">
        <v>8</v>
      </c>
      <c r="G118" s="53"/>
      <c r="H118" s="53">
        <v>10</v>
      </c>
      <c r="I118" s="53">
        <v>9</v>
      </c>
      <c r="J118" s="53">
        <v>13</v>
      </c>
      <c r="K118" s="53">
        <v>17</v>
      </c>
      <c r="L118" s="53">
        <v>0</v>
      </c>
      <c r="M118" s="53">
        <f>Table13[[#This Row],[12/31/2023]]+1</f>
        <v>14</v>
      </c>
      <c r="N118" s="53">
        <f>Table13[[#This Row],[Recruited 23]]+1</f>
        <v>1</v>
      </c>
      <c r="O118" s="53">
        <f>IF(Table13[[#This Row],[Unit Type]]="Pack",10,12)</f>
        <v>12</v>
      </c>
      <c r="P118" s="53">
        <f>MAX(Table13[[#This Row],[Pack Recruit Goal]:[Min Recruit Goal]])</f>
        <v>12</v>
      </c>
      <c r="Q118" s="53">
        <f>IF(Table13[[#This Row],[Unit Type]]="Pack",Table13[[#This Row],[Pack Recruit Growth Goal]],IF(Table13[[#This Row],[Troop Growth Goal]]&gt;11,Table13[[#This Row],[Troop Growth Goal]],Table13[[#This Row],[Min Recruit Goal]]))</f>
        <v>14</v>
      </c>
      <c r="R118" s="53">
        <f>Table13[[#This Row],[End Goal]]-Table13[[#This Row],[6/30/2023]]</f>
        <v>5</v>
      </c>
      <c r="S118" s="4">
        <v>0</v>
      </c>
      <c r="T118" s="4">
        <v>0</v>
      </c>
      <c r="V118" s="4">
        <f>Table13[[#This Row],[2023 Sales]]*2</f>
        <v>0</v>
      </c>
      <c r="W118" s="53">
        <f>IF(Table13[[#This Row],[Double 2023]]&lt;4000,4000,0)</f>
        <v>4000</v>
      </c>
      <c r="X118" s="4">
        <f>MAX(Table13[[#This Row],[Double 2023]:[Min 4K]])</f>
        <v>4000</v>
      </c>
      <c r="Y118" s="96">
        <f>IF(Table13[[#This Row],[Max of goals]]&gt;15000,15000,Table13[[#This Row],[Max of goals]])</f>
        <v>4000</v>
      </c>
    </row>
    <row r="119" spans="1:25" x14ac:dyDescent="0.25">
      <c r="A119" t="s">
        <v>340</v>
      </c>
      <c r="B119" t="s">
        <v>68</v>
      </c>
      <c r="C119" t="s">
        <v>125</v>
      </c>
      <c r="D119" t="s">
        <v>173</v>
      </c>
      <c r="E119" s="53">
        <v>18</v>
      </c>
      <c r="F119">
        <v>18</v>
      </c>
      <c r="G119" s="53"/>
      <c r="H119" s="53">
        <v>21</v>
      </c>
      <c r="I119" s="53">
        <v>12</v>
      </c>
      <c r="J119" s="53">
        <v>14</v>
      </c>
      <c r="K119" s="53">
        <v>13</v>
      </c>
      <c r="L119" s="53">
        <v>2</v>
      </c>
      <c r="M119" s="53">
        <f>Table13[[#This Row],[12/31/2023]]+1</f>
        <v>15</v>
      </c>
      <c r="N119" s="53">
        <f>Table13[[#This Row],[Recruited 23]]+1</f>
        <v>3</v>
      </c>
      <c r="O119" s="53">
        <f>IF(Table13[[#This Row],[Unit Type]]="Pack",10,12)</f>
        <v>12</v>
      </c>
      <c r="P119" s="53">
        <f>MAX(Table13[[#This Row],[Pack Recruit Goal]:[Min Recruit Goal]])</f>
        <v>12</v>
      </c>
      <c r="Q119" s="53">
        <f>IF(Table13[[#This Row],[Unit Type]]="Pack",Table13[[#This Row],[Pack Recruit Growth Goal]],IF(Table13[[#This Row],[Troop Growth Goal]]&gt;11,Table13[[#This Row],[Troop Growth Goal]],Table13[[#This Row],[Min Recruit Goal]]))</f>
        <v>15</v>
      </c>
      <c r="R119" s="53">
        <f>Table13[[#This Row],[End Goal]]-Table13[[#This Row],[6/30/2023]]</f>
        <v>3</v>
      </c>
      <c r="S119" s="4">
        <v>0</v>
      </c>
      <c r="T119" s="4">
        <v>0</v>
      </c>
      <c r="V119" s="4">
        <f>Table13[[#This Row],[2023 Sales]]*2</f>
        <v>0</v>
      </c>
      <c r="W119" s="53">
        <f>IF(Table13[[#This Row],[Double 2023]]&lt;4000,4000,0)</f>
        <v>4000</v>
      </c>
      <c r="X119" s="4">
        <f>MAX(Table13[[#This Row],[Double 2023]:[Min 4K]])</f>
        <v>4000</v>
      </c>
      <c r="Y119" s="96">
        <f>IF(Table13[[#This Row],[Max of goals]]&gt;15000,15000,Table13[[#This Row],[Max of goals]])</f>
        <v>4000</v>
      </c>
    </row>
    <row r="120" spans="1:25" x14ac:dyDescent="0.25">
      <c r="A120" t="s">
        <v>341</v>
      </c>
      <c r="B120" t="s">
        <v>62</v>
      </c>
      <c r="C120" t="s">
        <v>125</v>
      </c>
      <c r="D120" t="s">
        <v>174</v>
      </c>
      <c r="E120" s="53">
        <v>8</v>
      </c>
      <c r="F120">
        <v>9</v>
      </c>
      <c r="G120" s="53"/>
      <c r="H120" s="53">
        <v>9</v>
      </c>
      <c r="I120" s="53">
        <v>11</v>
      </c>
      <c r="J120" s="53">
        <v>11</v>
      </c>
      <c r="K120" s="53">
        <v>8</v>
      </c>
      <c r="L120" s="53">
        <v>0</v>
      </c>
      <c r="M120" s="53">
        <f>Table13[[#This Row],[12/31/2023]]+1</f>
        <v>12</v>
      </c>
      <c r="N120" s="53">
        <f>Table13[[#This Row],[Recruited 23]]+1</f>
        <v>1</v>
      </c>
      <c r="O120" s="53">
        <f>IF(Table13[[#This Row],[Unit Type]]="Pack",10,12)</f>
        <v>12</v>
      </c>
      <c r="P120" s="53">
        <f>MAX(Table13[[#This Row],[Pack Recruit Goal]:[Min Recruit Goal]])</f>
        <v>12</v>
      </c>
      <c r="Q120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20" s="53">
        <f>Table13[[#This Row],[End Goal]]-Table13[[#This Row],[6/30/2023]]</f>
        <v>1</v>
      </c>
      <c r="S120" s="4">
        <v>0</v>
      </c>
      <c r="T120" s="4">
        <v>0</v>
      </c>
      <c r="V120" s="4">
        <f>Table13[[#This Row],[2023 Sales]]*2</f>
        <v>0</v>
      </c>
      <c r="W120" s="53">
        <f>IF(Table13[[#This Row],[Double 2023]]&lt;4000,4000,0)</f>
        <v>4000</v>
      </c>
      <c r="X120" s="4">
        <f>MAX(Table13[[#This Row],[Double 2023]:[Min 4K]])</f>
        <v>4000</v>
      </c>
      <c r="Y120" s="96">
        <f>IF(Table13[[#This Row],[Max of goals]]&gt;15000,15000,Table13[[#This Row],[Max of goals]])</f>
        <v>4000</v>
      </c>
    </row>
    <row r="121" spans="1:25" x14ac:dyDescent="0.25">
      <c r="A121" t="s">
        <v>342</v>
      </c>
      <c r="B121" t="s">
        <v>65</v>
      </c>
      <c r="C121" t="s">
        <v>125</v>
      </c>
      <c r="D121" t="s">
        <v>175</v>
      </c>
      <c r="E121" s="53">
        <v>36</v>
      </c>
      <c r="F121">
        <v>28</v>
      </c>
      <c r="G121" s="53"/>
      <c r="H121" s="53">
        <v>31</v>
      </c>
      <c r="I121" s="53">
        <v>30</v>
      </c>
      <c r="J121" s="53">
        <v>32</v>
      </c>
      <c r="K121" s="53">
        <v>32</v>
      </c>
      <c r="L121" s="53">
        <v>2</v>
      </c>
      <c r="M121" s="53">
        <f>Table13[[#This Row],[12/31/2023]]+1</f>
        <v>33</v>
      </c>
      <c r="N121" s="53">
        <f>Table13[[#This Row],[Recruited 23]]+1</f>
        <v>3</v>
      </c>
      <c r="O121" s="53">
        <f>IF(Table13[[#This Row],[Unit Type]]="Pack",10,12)</f>
        <v>12</v>
      </c>
      <c r="P121" s="53">
        <f>MAX(Table13[[#This Row],[Pack Recruit Goal]:[Min Recruit Goal]])</f>
        <v>12</v>
      </c>
      <c r="Q121" s="53">
        <f>IF(Table13[[#This Row],[Unit Type]]="Pack",Table13[[#This Row],[Pack Recruit Growth Goal]],IF(Table13[[#This Row],[Troop Growth Goal]]&gt;11,Table13[[#This Row],[Troop Growth Goal]],Table13[[#This Row],[Min Recruit Goal]]))</f>
        <v>33</v>
      </c>
      <c r="R121" s="53">
        <f>Table13[[#This Row],[End Goal]]-Table13[[#This Row],[6/30/2023]]</f>
        <v>3</v>
      </c>
      <c r="S121" s="4">
        <v>2902.73</v>
      </c>
      <c r="T121" s="4">
        <v>7077</v>
      </c>
      <c r="U121" s="4">
        <v>2570</v>
      </c>
      <c r="V121" s="4">
        <f>Table13[[#This Row],[2023 Sales]]*2</f>
        <v>5140</v>
      </c>
      <c r="W121" s="53">
        <f>IF(Table13[[#This Row],[Double 2023]]&lt;4000,4000,0)</f>
        <v>0</v>
      </c>
      <c r="X121" s="4">
        <f>MAX(Table13[[#This Row],[Double 2023]:[Min 4K]])</f>
        <v>5140</v>
      </c>
      <c r="Y121" s="96">
        <f>IF(Table13[[#This Row],[Max of goals]]&gt;15000,15000,Table13[[#This Row],[Max of goals]])</f>
        <v>5140</v>
      </c>
    </row>
    <row r="122" spans="1:25" x14ac:dyDescent="0.25">
      <c r="A122" t="s">
        <v>343</v>
      </c>
      <c r="B122" t="s">
        <v>68</v>
      </c>
      <c r="C122" t="s">
        <v>125</v>
      </c>
      <c r="D122" t="s">
        <v>176</v>
      </c>
      <c r="E122" s="53">
        <v>36</v>
      </c>
      <c r="F122">
        <v>35</v>
      </c>
      <c r="G122" s="53"/>
      <c r="H122" s="53">
        <v>38</v>
      </c>
      <c r="I122" s="53">
        <v>35</v>
      </c>
      <c r="J122" s="53">
        <v>33</v>
      </c>
      <c r="K122" s="53">
        <v>26</v>
      </c>
      <c r="L122" s="53">
        <v>1</v>
      </c>
      <c r="M122" s="53">
        <f>Table13[[#This Row],[12/31/2023]]+1</f>
        <v>34</v>
      </c>
      <c r="N122" s="53">
        <f>Table13[[#This Row],[Recruited 23]]+1</f>
        <v>2</v>
      </c>
      <c r="O122" s="53">
        <f>IF(Table13[[#This Row],[Unit Type]]="Pack",10,12)</f>
        <v>12</v>
      </c>
      <c r="P122" s="53">
        <f>MAX(Table13[[#This Row],[Pack Recruit Goal]:[Min Recruit Goal]])</f>
        <v>12</v>
      </c>
      <c r="Q122" s="53">
        <f>IF(Table13[[#This Row],[Unit Type]]="Pack",Table13[[#This Row],[Pack Recruit Growth Goal]],IF(Table13[[#This Row],[Troop Growth Goal]]&gt;11,Table13[[#This Row],[Troop Growth Goal]],Table13[[#This Row],[Min Recruit Goal]]))</f>
        <v>34</v>
      </c>
      <c r="R122" s="53">
        <f>Table13[[#This Row],[End Goal]]-Table13[[#This Row],[6/30/2023]]</f>
        <v>-1</v>
      </c>
      <c r="S122" s="4">
        <v>6054.67</v>
      </c>
      <c r="T122" s="4">
        <v>2626</v>
      </c>
      <c r="U122" s="4">
        <v>2211</v>
      </c>
      <c r="V122" s="4">
        <f>Table13[[#This Row],[2023 Sales]]*2</f>
        <v>4422</v>
      </c>
      <c r="W122" s="53">
        <f>IF(Table13[[#This Row],[Double 2023]]&lt;4000,4000,0)</f>
        <v>0</v>
      </c>
      <c r="X122" s="4">
        <f>MAX(Table13[[#This Row],[Double 2023]:[Min 4K]])</f>
        <v>4422</v>
      </c>
      <c r="Y122" s="96">
        <f>IF(Table13[[#This Row],[Max of goals]]&gt;15000,15000,Table13[[#This Row],[Max of goals]])</f>
        <v>4422</v>
      </c>
    </row>
    <row r="123" spans="1:25" x14ac:dyDescent="0.25">
      <c r="A123" t="s">
        <v>344</v>
      </c>
      <c r="B123" t="s">
        <v>68</v>
      </c>
      <c r="C123" t="s">
        <v>125</v>
      </c>
      <c r="D123" t="s">
        <v>177</v>
      </c>
      <c r="E123" s="53">
        <v>29</v>
      </c>
      <c r="F123">
        <v>36</v>
      </c>
      <c r="G123" s="53"/>
      <c r="H123" s="53">
        <v>37</v>
      </c>
      <c r="I123" s="53">
        <v>28</v>
      </c>
      <c r="J123" s="53">
        <v>29</v>
      </c>
      <c r="K123" s="53">
        <v>21</v>
      </c>
      <c r="L123" s="53">
        <v>3</v>
      </c>
      <c r="M123" s="53">
        <f>Table13[[#This Row],[12/31/2023]]+1</f>
        <v>30</v>
      </c>
      <c r="N123" s="53">
        <f>Table13[[#This Row],[Recruited 23]]+1</f>
        <v>4</v>
      </c>
      <c r="O123" s="53">
        <f>IF(Table13[[#This Row],[Unit Type]]="Pack",10,12)</f>
        <v>12</v>
      </c>
      <c r="P123" s="53">
        <f>MAX(Table13[[#This Row],[Pack Recruit Goal]:[Min Recruit Goal]])</f>
        <v>12</v>
      </c>
      <c r="Q123" s="53">
        <f>IF(Table13[[#This Row],[Unit Type]]="Pack",Table13[[#This Row],[Pack Recruit Growth Goal]],IF(Table13[[#This Row],[Troop Growth Goal]]&gt;11,Table13[[#This Row],[Troop Growth Goal]],Table13[[#This Row],[Min Recruit Goal]]))</f>
        <v>30</v>
      </c>
      <c r="R123" s="53">
        <f>Table13[[#This Row],[End Goal]]-Table13[[#This Row],[6/30/2023]]</f>
        <v>2</v>
      </c>
      <c r="S123" s="4">
        <v>719.94</v>
      </c>
      <c r="T123" s="4">
        <v>210</v>
      </c>
      <c r="V123" s="4">
        <f>Table13[[#This Row],[2023 Sales]]*2</f>
        <v>0</v>
      </c>
      <c r="W123" s="53">
        <f>IF(Table13[[#This Row],[Double 2023]]&lt;4000,4000,0)</f>
        <v>4000</v>
      </c>
      <c r="X123" s="4">
        <f>MAX(Table13[[#This Row],[Double 2023]:[Min 4K]])</f>
        <v>4000</v>
      </c>
      <c r="Y123" s="96">
        <f>IF(Table13[[#This Row],[Max of goals]]&gt;15000,15000,Table13[[#This Row],[Max of goals]])</f>
        <v>4000</v>
      </c>
    </row>
    <row r="124" spans="1:25" x14ac:dyDescent="0.25">
      <c r="A124" t="s">
        <v>345</v>
      </c>
      <c r="B124" t="s">
        <v>58</v>
      </c>
      <c r="C124" t="s">
        <v>125</v>
      </c>
      <c r="D124" t="s">
        <v>178</v>
      </c>
      <c r="E124" s="53">
        <v>17</v>
      </c>
      <c r="F124">
        <v>13</v>
      </c>
      <c r="G124" s="53"/>
      <c r="H124" s="53">
        <v>14</v>
      </c>
      <c r="I124" s="53">
        <v>11</v>
      </c>
      <c r="J124" s="53">
        <v>11</v>
      </c>
      <c r="K124" s="53">
        <v>6</v>
      </c>
      <c r="L124" s="53">
        <v>0</v>
      </c>
      <c r="M124" s="53">
        <f>Table13[[#This Row],[12/31/2023]]+1</f>
        <v>12</v>
      </c>
      <c r="N124" s="53">
        <f>Table13[[#This Row],[Recruited 23]]+1</f>
        <v>1</v>
      </c>
      <c r="O124" s="53">
        <f>IF(Table13[[#This Row],[Unit Type]]="Pack",10,12)</f>
        <v>12</v>
      </c>
      <c r="P124" s="53">
        <f>MAX(Table13[[#This Row],[Pack Recruit Goal]:[Min Recruit Goal]])</f>
        <v>12</v>
      </c>
      <c r="Q124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24" s="53">
        <f>Table13[[#This Row],[End Goal]]-Table13[[#This Row],[6/30/2023]]</f>
        <v>1</v>
      </c>
      <c r="S124" s="4">
        <v>1829.57</v>
      </c>
      <c r="T124" s="4">
        <v>3377</v>
      </c>
      <c r="V124" s="4">
        <f>Table13[[#This Row],[2023 Sales]]*2</f>
        <v>0</v>
      </c>
      <c r="W124" s="53">
        <f>IF(Table13[[#This Row],[Double 2023]]&lt;4000,4000,0)</f>
        <v>4000</v>
      </c>
      <c r="X124" s="4">
        <f>MAX(Table13[[#This Row],[Double 2023]:[Min 4K]])</f>
        <v>4000</v>
      </c>
      <c r="Y124" s="96">
        <f>IF(Table13[[#This Row],[Max of goals]]&gt;15000,15000,Table13[[#This Row],[Max of goals]])</f>
        <v>4000</v>
      </c>
    </row>
    <row r="125" spans="1:25" x14ac:dyDescent="0.25">
      <c r="A125" t="s">
        <v>346</v>
      </c>
      <c r="B125" t="s">
        <v>58</v>
      </c>
      <c r="C125" t="s">
        <v>125</v>
      </c>
      <c r="D125" t="s">
        <v>179</v>
      </c>
      <c r="E125" s="53">
        <v>5</v>
      </c>
      <c r="F125">
        <v>3</v>
      </c>
      <c r="G125" s="53"/>
      <c r="H125" s="53"/>
      <c r="I125" s="53"/>
      <c r="J125" s="53">
        <v>0</v>
      </c>
      <c r="K125" s="53">
        <v>0</v>
      </c>
      <c r="L125" s="53">
        <v>0</v>
      </c>
      <c r="M125" s="53">
        <f>Table13[[#This Row],[12/31/2023]]+1</f>
        <v>1</v>
      </c>
      <c r="N125" s="53">
        <f>Table13[[#This Row],[Recruited 23]]+1</f>
        <v>1</v>
      </c>
      <c r="O125" s="53">
        <f>IF(Table13[[#This Row],[Unit Type]]="Pack",10,12)</f>
        <v>12</v>
      </c>
      <c r="P125" s="53">
        <f>MAX(Table13[[#This Row],[Pack Recruit Goal]:[Min Recruit Goal]])</f>
        <v>12</v>
      </c>
      <c r="Q125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25" s="53">
        <f>Table13[[#This Row],[End Goal]]-Table13[[#This Row],[6/30/2023]]</f>
        <v>12</v>
      </c>
      <c r="S125" s="4">
        <v>0</v>
      </c>
      <c r="T125" s="4">
        <v>0</v>
      </c>
      <c r="V125" s="4">
        <f>Table13[[#This Row],[2023 Sales]]*2</f>
        <v>0</v>
      </c>
      <c r="W125" s="53">
        <f>IF(Table13[[#This Row],[Double 2023]]&lt;4000,4000,0)</f>
        <v>4000</v>
      </c>
      <c r="X125" s="4">
        <f>MAX(Table13[[#This Row],[Double 2023]:[Min 4K]])</f>
        <v>4000</v>
      </c>
      <c r="Y125" s="96">
        <f>IF(Table13[[#This Row],[Max of goals]]&gt;15000,15000,Table13[[#This Row],[Max of goals]])</f>
        <v>4000</v>
      </c>
    </row>
    <row r="126" spans="1:25" x14ac:dyDescent="0.25">
      <c r="A126" t="s">
        <v>347</v>
      </c>
      <c r="B126" t="s">
        <v>65</v>
      </c>
      <c r="C126" t="s">
        <v>125</v>
      </c>
      <c r="D126" t="s">
        <v>180</v>
      </c>
      <c r="E126" s="53">
        <v>18</v>
      </c>
      <c r="F126">
        <v>21</v>
      </c>
      <c r="G126" s="53"/>
      <c r="H126" s="53">
        <v>26</v>
      </c>
      <c r="I126" s="53">
        <v>25</v>
      </c>
      <c r="J126" s="53">
        <v>28</v>
      </c>
      <c r="K126" s="53">
        <v>23</v>
      </c>
      <c r="L126" s="53">
        <v>0</v>
      </c>
      <c r="M126" s="53">
        <f>Table13[[#This Row],[12/31/2023]]+1</f>
        <v>29</v>
      </c>
      <c r="N126" s="53">
        <f>Table13[[#This Row],[Recruited 23]]+1</f>
        <v>1</v>
      </c>
      <c r="O126" s="53">
        <f>IF(Table13[[#This Row],[Unit Type]]="Pack",10,12)</f>
        <v>12</v>
      </c>
      <c r="P126" s="53">
        <f>MAX(Table13[[#This Row],[Pack Recruit Goal]:[Min Recruit Goal]])</f>
        <v>12</v>
      </c>
      <c r="Q126" s="53">
        <f>IF(Table13[[#This Row],[Unit Type]]="Pack",Table13[[#This Row],[Pack Recruit Growth Goal]],IF(Table13[[#This Row],[Troop Growth Goal]]&gt;11,Table13[[#This Row],[Troop Growth Goal]],Table13[[#This Row],[Min Recruit Goal]]))</f>
        <v>29</v>
      </c>
      <c r="R126" s="53">
        <f>Table13[[#This Row],[End Goal]]-Table13[[#This Row],[6/30/2023]]</f>
        <v>4</v>
      </c>
      <c r="S126" s="4">
        <v>20319.54</v>
      </c>
      <c r="T126" s="4">
        <v>12238</v>
      </c>
      <c r="U126" s="4">
        <v>13362</v>
      </c>
      <c r="V126" s="4">
        <f>Table13[[#This Row],[2023 Sales]]*2</f>
        <v>26724</v>
      </c>
      <c r="W126" s="53">
        <f>IF(Table13[[#This Row],[Double 2023]]&lt;4000,4000,0)</f>
        <v>0</v>
      </c>
      <c r="X126" s="4">
        <f>MAX(Table13[[#This Row],[Double 2023]:[Min 4K]])</f>
        <v>26724</v>
      </c>
      <c r="Y126" s="96">
        <f>IF(Table13[[#This Row],[Max of goals]]&gt;15000,15000,Table13[[#This Row],[Max of goals]])</f>
        <v>15000</v>
      </c>
    </row>
    <row r="127" spans="1:25" x14ac:dyDescent="0.25">
      <c r="A127" t="s">
        <v>348</v>
      </c>
      <c r="B127" t="s">
        <v>65</v>
      </c>
      <c r="C127" t="s">
        <v>125</v>
      </c>
      <c r="D127" t="s">
        <v>181</v>
      </c>
      <c r="E127" s="53">
        <v>52</v>
      </c>
      <c r="F127">
        <v>53</v>
      </c>
      <c r="G127" s="53"/>
      <c r="H127" s="53">
        <v>57</v>
      </c>
      <c r="I127" s="53">
        <v>41</v>
      </c>
      <c r="J127" s="53">
        <v>42</v>
      </c>
      <c r="K127" s="53">
        <v>25</v>
      </c>
      <c r="L127" s="53">
        <v>1</v>
      </c>
      <c r="M127" s="53">
        <f>Table13[[#This Row],[12/31/2023]]+1</f>
        <v>43</v>
      </c>
      <c r="N127" s="53">
        <f>Table13[[#This Row],[Recruited 23]]+1</f>
        <v>2</v>
      </c>
      <c r="O127" s="53">
        <f>IF(Table13[[#This Row],[Unit Type]]="Pack",10,12)</f>
        <v>12</v>
      </c>
      <c r="P127" s="53">
        <f>MAX(Table13[[#This Row],[Pack Recruit Goal]:[Min Recruit Goal]])</f>
        <v>12</v>
      </c>
      <c r="Q127" s="53">
        <f>IF(Table13[[#This Row],[Unit Type]]="Pack",Table13[[#This Row],[Pack Recruit Growth Goal]],IF(Table13[[#This Row],[Troop Growth Goal]]&gt;11,Table13[[#This Row],[Troop Growth Goal]],Table13[[#This Row],[Min Recruit Goal]]))</f>
        <v>43</v>
      </c>
      <c r="R127" s="53">
        <f>Table13[[#This Row],[End Goal]]-Table13[[#This Row],[6/30/2023]]</f>
        <v>2</v>
      </c>
      <c r="S127" s="4">
        <v>2607.88</v>
      </c>
      <c r="T127" s="4">
        <v>4919</v>
      </c>
      <c r="U127" s="4">
        <v>2465</v>
      </c>
      <c r="V127" s="4">
        <f>Table13[[#This Row],[2023 Sales]]*2</f>
        <v>4930</v>
      </c>
      <c r="W127" s="53">
        <f>IF(Table13[[#This Row],[Double 2023]]&lt;4000,4000,0)</f>
        <v>0</v>
      </c>
      <c r="X127" s="4">
        <f>MAX(Table13[[#This Row],[Double 2023]:[Min 4K]])</f>
        <v>4930</v>
      </c>
      <c r="Y127" s="96">
        <f>IF(Table13[[#This Row],[Max of goals]]&gt;15000,15000,Table13[[#This Row],[Max of goals]])</f>
        <v>4930</v>
      </c>
    </row>
    <row r="128" spans="1:25" x14ac:dyDescent="0.25">
      <c r="A128" t="s">
        <v>349</v>
      </c>
      <c r="B128" t="s">
        <v>58</v>
      </c>
      <c r="C128" t="s">
        <v>125</v>
      </c>
      <c r="D128" t="s">
        <v>182</v>
      </c>
      <c r="E128" s="53">
        <v>8</v>
      </c>
      <c r="F128">
        <v>7</v>
      </c>
      <c r="G128" s="53"/>
      <c r="H128" s="53">
        <v>8</v>
      </c>
      <c r="I128" s="53">
        <v>6</v>
      </c>
      <c r="J128" s="53">
        <v>6</v>
      </c>
      <c r="K128" s="53">
        <v>2</v>
      </c>
      <c r="L128" s="53">
        <v>0</v>
      </c>
      <c r="M128" s="53">
        <f>Table13[[#This Row],[12/31/2023]]+1</f>
        <v>7</v>
      </c>
      <c r="N128" s="53">
        <f>Table13[[#This Row],[Recruited 23]]+1</f>
        <v>1</v>
      </c>
      <c r="O128" s="53">
        <f>IF(Table13[[#This Row],[Unit Type]]="Pack",10,12)</f>
        <v>12</v>
      </c>
      <c r="P128" s="53">
        <f>MAX(Table13[[#This Row],[Pack Recruit Goal]:[Min Recruit Goal]])</f>
        <v>12</v>
      </c>
      <c r="Q128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28" s="53">
        <f>Table13[[#This Row],[End Goal]]-Table13[[#This Row],[6/30/2023]]</f>
        <v>6</v>
      </c>
      <c r="S128" s="4">
        <v>59.97</v>
      </c>
      <c r="T128" s="4">
        <v>0</v>
      </c>
      <c r="V128" s="4">
        <f>Table13[[#This Row],[2023 Sales]]*2</f>
        <v>0</v>
      </c>
      <c r="W128" s="53">
        <f>IF(Table13[[#This Row],[Double 2023]]&lt;4000,4000,0)</f>
        <v>4000</v>
      </c>
      <c r="X128" s="4">
        <f>MAX(Table13[[#This Row],[Double 2023]:[Min 4K]])</f>
        <v>4000</v>
      </c>
      <c r="Y128" s="96">
        <f>IF(Table13[[#This Row],[Max of goals]]&gt;15000,15000,Table13[[#This Row],[Max of goals]])</f>
        <v>4000</v>
      </c>
    </row>
    <row r="129" spans="1:25" x14ac:dyDescent="0.25">
      <c r="A129" t="s">
        <v>350</v>
      </c>
      <c r="B129" t="s">
        <v>68</v>
      </c>
      <c r="C129" t="s">
        <v>125</v>
      </c>
      <c r="D129" t="s">
        <v>183</v>
      </c>
      <c r="E129" s="53">
        <v>15</v>
      </c>
      <c r="F129">
        <v>12</v>
      </c>
      <c r="G129" s="53"/>
      <c r="H129" s="53"/>
      <c r="I129" s="53"/>
      <c r="J129" s="53">
        <v>0</v>
      </c>
      <c r="K129" s="53">
        <v>0</v>
      </c>
      <c r="L129" s="53">
        <v>0</v>
      </c>
      <c r="M129" s="53">
        <f>Table13[[#This Row],[12/31/2023]]+1</f>
        <v>1</v>
      </c>
      <c r="N129" s="53">
        <f>Table13[[#This Row],[Recruited 23]]+1</f>
        <v>1</v>
      </c>
      <c r="O129" s="53">
        <f>IF(Table13[[#This Row],[Unit Type]]="Pack",10,12)</f>
        <v>12</v>
      </c>
      <c r="P129" s="53">
        <f>MAX(Table13[[#This Row],[Pack Recruit Goal]:[Min Recruit Goal]])</f>
        <v>12</v>
      </c>
      <c r="Q129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29" s="53">
        <f>Table13[[#This Row],[End Goal]]-Table13[[#This Row],[6/30/2023]]</f>
        <v>12</v>
      </c>
      <c r="S129" s="4">
        <v>2554.9499999999998</v>
      </c>
      <c r="T129" s="4">
        <v>0</v>
      </c>
      <c r="V129" s="4">
        <f>Table13[[#This Row],[2023 Sales]]*2</f>
        <v>0</v>
      </c>
      <c r="W129" s="53">
        <f>IF(Table13[[#This Row],[Double 2023]]&lt;4000,4000,0)</f>
        <v>4000</v>
      </c>
      <c r="X129" s="4">
        <f>MAX(Table13[[#This Row],[Double 2023]:[Min 4K]])</f>
        <v>4000</v>
      </c>
      <c r="Y129" s="96">
        <f>IF(Table13[[#This Row],[Max of goals]]&gt;15000,15000,Table13[[#This Row],[Max of goals]])</f>
        <v>4000</v>
      </c>
    </row>
    <row r="130" spans="1:25" x14ac:dyDescent="0.25">
      <c r="A130" t="s">
        <v>351</v>
      </c>
      <c r="B130" t="s">
        <v>65</v>
      </c>
      <c r="C130" t="s">
        <v>125</v>
      </c>
      <c r="D130" t="s">
        <v>184</v>
      </c>
      <c r="E130" s="53">
        <v>7</v>
      </c>
      <c r="F130">
        <v>10</v>
      </c>
      <c r="G130" s="53"/>
      <c r="H130" s="53">
        <v>12</v>
      </c>
      <c r="I130" s="53">
        <v>9</v>
      </c>
      <c r="J130" s="53">
        <v>9</v>
      </c>
      <c r="K130" s="53">
        <v>2</v>
      </c>
      <c r="L130" s="53">
        <v>1</v>
      </c>
      <c r="M130" s="53">
        <f>Table13[[#This Row],[12/31/2023]]+1</f>
        <v>10</v>
      </c>
      <c r="N130" s="53">
        <f>Table13[[#This Row],[Recruited 23]]+1</f>
        <v>2</v>
      </c>
      <c r="O130" s="53">
        <f>IF(Table13[[#This Row],[Unit Type]]="Pack",10,12)</f>
        <v>12</v>
      </c>
      <c r="P130" s="53">
        <f>MAX(Table13[[#This Row],[Pack Recruit Goal]:[Min Recruit Goal]])</f>
        <v>12</v>
      </c>
      <c r="Q130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0" s="53">
        <f>Table13[[#This Row],[End Goal]]-Table13[[#This Row],[6/30/2023]]</f>
        <v>3</v>
      </c>
      <c r="S130" s="4">
        <v>0</v>
      </c>
      <c r="T130" s="4">
        <v>3942</v>
      </c>
      <c r="U130" s="4">
        <v>1541</v>
      </c>
      <c r="V130" s="4">
        <f>Table13[[#This Row],[2023 Sales]]*2</f>
        <v>3082</v>
      </c>
      <c r="W130" s="53">
        <f>IF(Table13[[#This Row],[Double 2023]]&lt;4000,4000,0)</f>
        <v>4000</v>
      </c>
      <c r="X130" s="4">
        <f>MAX(Table13[[#This Row],[Double 2023]:[Min 4K]])</f>
        <v>4000</v>
      </c>
      <c r="Y130" s="96">
        <f>IF(Table13[[#This Row],[Max of goals]]&gt;15000,15000,Table13[[#This Row],[Max of goals]])</f>
        <v>4000</v>
      </c>
    </row>
    <row r="131" spans="1:25" x14ac:dyDescent="0.25">
      <c r="A131" t="s">
        <v>352</v>
      </c>
      <c r="B131" t="s">
        <v>62</v>
      </c>
      <c r="C131" t="s">
        <v>125</v>
      </c>
      <c r="D131" t="s">
        <v>185</v>
      </c>
      <c r="E131" s="53">
        <v>10</v>
      </c>
      <c r="F131">
        <v>13</v>
      </c>
      <c r="G131" s="53"/>
      <c r="H131" s="53">
        <v>13</v>
      </c>
      <c r="I131" s="53">
        <v>10</v>
      </c>
      <c r="J131" s="53">
        <v>10</v>
      </c>
      <c r="K131" s="53">
        <v>9</v>
      </c>
      <c r="L131" s="53">
        <v>0</v>
      </c>
      <c r="M131" s="53">
        <f>Table13[[#This Row],[12/31/2023]]+1</f>
        <v>11</v>
      </c>
      <c r="N131" s="53">
        <f>Table13[[#This Row],[Recruited 23]]+1</f>
        <v>1</v>
      </c>
      <c r="O131" s="53">
        <f>IF(Table13[[#This Row],[Unit Type]]="Pack",10,12)</f>
        <v>12</v>
      </c>
      <c r="P131" s="53">
        <f>MAX(Table13[[#This Row],[Pack Recruit Goal]:[Min Recruit Goal]])</f>
        <v>12</v>
      </c>
      <c r="Q131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1" s="53">
        <f>Table13[[#This Row],[End Goal]]-Table13[[#This Row],[6/30/2023]]</f>
        <v>2</v>
      </c>
      <c r="S131" s="4">
        <v>2125</v>
      </c>
      <c r="T131" s="4">
        <v>610</v>
      </c>
      <c r="U131" s="4">
        <v>2134</v>
      </c>
      <c r="V131" s="4">
        <f>Table13[[#This Row],[2023 Sales]]*2</f>
        <v>4268</v>
      </c>
      <c r="W131" s="53">
        <f>IF(Table13[[#This Row],[Double 2023]]&lt;4000,4000,0)</f>
        <v>0</v>
      </c>
      <c r="X131" s="4">
        <f>MAX(Table13[[#This Row],[Double 2023]:[Min 4K]])</f>
        <v>4268</v>
      </c>
      <c r="Y131" s="96">
        <f>IF(Table13[[#This Row],[Max of goals]]&gt;15000,15000,Table13[[#This Row],[Max of goals]])</f>
        <v>4268</v>
      </c>
    </row>
    <row r="132" spans="1:25" x14ac:dyDescent="0.25">
      <c r="A132" t="s">
        <v>353</v>
      </c>
      <c r="B132" t="s">
        <v>68</v>
      </c>
      <c r="C132" t="s">
        <v>125</v>
      </c>
      <c r="D132" t="s">
        <v>186</v>
      </c>
      <c r="E132" s="53">
        <v>22</v>
      </c>
      <c r="F132">
        <v>12</v>
      </c>
      <c r="G132" s="53"/>
      <c r="H132" s="53">
        <v>13</v>
      </c>
      <c r="I132" s="53">
        <v>18</v>
      </c>
      <c r="J132" s="53">
        <v>20</v>
      </c>
      <c r="K132" s="53">
        <v>18</v>
      </c>
      <c r="L132" s="53">
        <v>1</v>
      </c>
      <c r="M132" s="53">
        <f>Table13[[#This Row],[12/31/2023]]+1</f>
        <v>21</v>
      </c>
      <c r="N132" s="53">
        <f>Table13[[#This Row],[Recruited 23]]+1</f>
        <v>2</v>
      </c>
      <c r="O132" s="53">
        <f>IF(Table13[[#This Row],[Unit Type]]="Pack",10,12)</f>
        <v>12</v>
      </c>
      <c r="P132" s="53">
        <f>MAX(Table13[[#This Row],[Pack Recruit Goal]:[Min Recruit Goal]])</f>
        <v>12</v>
      </c>
      <c r="Q132" s="53">
        <f>IF(Table13[[#This Row],[Unit Type]]="Pack",Table13[[#This Row],[Pack Recruit Growth Goal]],IF(Table13[[#This Row],[Troop Growth Goal]]&gt;11,Table13[[#This Row],[Troop Growth Goal]],Table13[[#This Row],[Min Recruit Goal]]))</f>
        <v>21</v>
      </c>
      <c r="R132" s="53">
        <f>Table13[[#This Row],[End Goal]]-Table13[[#This Row],[6/30/2023]]</f>
        <v>3</v>
      </c>
      <c r="S132" s="4">
        <v>5324.87</v>
      </c>
      <c r="T132" s="4">
        <v>5806</v>
      </c>
      <c r="U132" s="4">
        <v>5046</v>
      </c>
      <c r="V132" s="4">
        <f>Table13[[#This Row],[2023 Sales]]*2</f>
        <v>10092</v>
      </c>
      <c r="W132" s="53">
        <f>IF(Table13[[#This Row],[Double 2023]]&lt;4000,4000,0)</f>
        <v>0</v>
      </c>
      <c r="X132" s="4">
        <f>MAX(Table13[[#This Row],[Double 2023]:[Min 4K]])</f>
        <v>10092</v>
      </c>
      <c r="Y132" s="96">
        <f>IF(Table13[[#This Row],[Max of goals]]&gt;15000,15000,Table13[[#This Row],[Max of goals]])</f>
        <v>10092</v>
      </c>
    </row>
    <row r="133" spans="1:25" x14ac:dyDescent="0.25">
      <c r="A133" t="s">
        <v>354</v>
      </c>
      <c r="B133" t="s">
        <v>68</v>
      </c>
      <c r="C133" t="s">
        <v>125</v>
      </c>
      <c r="D133" t="s">
        <v>187</v>
      </c>
      <c r="E133" s="53">
        <v>8</v>
      </c>
      <c r="F133">
        <v>10</v>
      </c>
      <c r="G133" s="53"/>
      <c r="H133" s="53">
        <v>10</v>
      </c>
      <c r="I133" s="53">
        <v>8</v>
      </c>
      <c r="J133" s="53">
        <v>9</v>
      </c>
      <c r="K133" s="53">
        <v>12</v>
      </c>
      <c r="L133" s="53">
        <v>0</v>
      </c>
      <c r="M133" s="53">
        <f>Table13[[#This Row],[12/31/2023]]+1</f>
        <v>10</v>
      </c>
      <c r="N133" s="53">
        <f>Table13[[#This Row],[Recruited 23]]+1</f>
        <v>1</v>
      </c>
      <c r="O133" s="53">
        <f>IF(Table13[[#This Row],[Unit Type]]="Pack",10,12)</f>
        <v>12</v>
      </c>
      <c r="P133" s="53">
        <f>MAX(Table13[[#This Row],[Pack Recruit Goal]:[Min Recruit Goal]])</f>
        <v>12</v>
      </c>
      <c r="Q133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3" s="53">
        <f>Table13[[#This Row],[End Goal]]-Table13[[#This Row],[6/30/2023]]</f>
        <v>4</v>
      </c>
      <c r="S133" s="4">
        <v>2246.7600000000002</v>
      </c>
      <c r="T133" s="4">
        <v>3038</v>
      </c>
      <c r="U133" s="4">
        <v>265</v>
      </c>
      <c r="V133" s="4">
        <f>Table13[[#This Row],[2023 Sales]]*2</f>
        <v>530</v>
      </c>
      <c r="W133" s="53">
        <f>IF(Table13[[#This Row],[Double 2023]]&lt;4000,4000,0)</f>
        <v>4000</v>
      </c>
      <c r="X133" s="4">
        <f>MAX(Table13[[#This Row],[Double 2023]:[Min 4K]])</f>
        <v>4000</v>
      </c>
      <c r="Y133" s="96">
        <f>IF(Table13[[#This Row],[Max of goals]]&gt;15000,15000,Table13[[#This Row],[Max of goals]])</f>
        <v>4000</v>
      </c>
    </row>
    <row r="134" spans="1:25" x14ac:dyDescent="0.25">
      <c r="A134" t="s">
        <v>355</v>
      </c>
      <c r="B134" t="s">
        <v>62</v>
      </c>
      <c r="C134" t="s">
        <v>125</v>
      </c>
      <c r="D134" t="s">
        <v>188</v>
      </c>
      <c r="E134" s="53">
        <v>0</v>
      </c>
      <c r="F134">
        <v>4</v>
      </c>
      <c r="G134" s="53"/>
      <c r="H134" s="53">
        <v>6</v>
      </c>
      <c r="I134" s="53">
        <v>3</v>
      </c>
      <c r="J134" s="53">
        <v>3</v>
      </c>
      <c r="K134" s="53">
        <v>6</v>
      </c>
      <c r="L134" s="53">
        <v>0</v>
      </c>
      <c r="M134" s="53">
        <f>Table13[[#This Row],[12/31/2023]]+1</f>
        <v>4</v>
      </c>
      <c r="N134" s="53">
        <f>Table13[[#This Row],[Recruited 23]]+1</f>
        <v>1</v>
      </c>
      <c r="O134" s="53">
        <f>IF(Table13[[#This Row],[Unit Type]]="Pack",10,12)</f>
        <v>12</v>
      </c>
      <c r="P134" s="53">
        <f>MAX(Table13[[#This Row],[Pack Recruit Goal]:[Min Recruit Goal]])</f>
        <v>12</v>
      </c>
      <c r="Q134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4" s="53">
        <f>Table13[[#This Row],[End Goal]]-Table13[[#This Row],[6/30/2023]]</f>
        <v>9</v>
      </c>
      <c r="S134" s="4">
        <v>0</v>
      </c>
      <c r="T134" s="4">
        <v>0</v>
      </c>
      <c r="V134" s="4">
        <f>Table13[[#This Row],[2023 Sales]]*2</f>
        <v>0</v>
      </c>
      <c r="W134" s="53">
        <f>IF(Table13[[#This Row],[Double 2023]]&lt;4000,4000,0)</f>
        <v>4000</v>
      </c>
      <c r="X134" s="4">
        <f>MAX(Table13[[#This Row],[Double 2023]:[Min 4K]])</f>
        <v>4000</v>
      </c>
      <c r="Y134" s="96">
        <f>IF(Table13[[#This Row],[Max of goals]]&gt;15000,15000,Table13[[#This Row],[Max of goals]])</f>
        <v>4000</v>
      </c>
    </row>
    <row r="135" spans="1:25" x14ac:dyDescent="0.25">
      <c r="A135" t="s">
        <v>356</v>
      </c>
      <c r="B135" t="s">
        <v>62</v>
      </c>
      <c r="C135" t="s">
        <v>125</v>
      </c>
      <c r="D135" t="s">
        <v>189</v>
      </c>
      <c r="E135" s="53">
        <v>10</v>
      </c>
      <c r="F135">
        <v>4</v>
      </c>
      <c r="G135" s="53"/>
      <c r="H135" s="53"/>
      <c r="I135" s="53"/>
      <c r="J135" s="53">
        <v>0</v>
      </c>
      <c r="K135" s="53">
        <v>0</v>
      </c>
      <c r="L135" s="53">
        <v>0</v>
      </c>
      <c r="M135" s="53">
        <f>Table13[[#This Row],[12/31/2023]]+1</f>
        <v>1</v>
      </c>
      <c r="N135" s="53">
        <f>Table13[[#This Row],[Recruited 23]]+1</f>
        <v>1</v>
      </c>
      <c r="O135" s="53">
        <f>IF(Table13[[#This Row],[Unit Type]]="Pack",10,12)</f>
        <v>12</v>
      </c>
      <c r="P135" s="53">
        <f>MAX(Table13[[#This Row],[Pack Recruit Goal]:[Min Recruit Goal]])</f>
        <v>12</v>
      </c>
      <c r="Q135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5" s="53">
        <f>Table13[[#This Row],[End Goal]]-Table13[[#This Row],[6/30/2023]]</f>
        <v>12</v>
      </c>
      <c r="S135" s="4">
        <v>264.91000000000003</v>
      </c>
      <c r="T135" s="4">
        <v>0</v>
      </c>
      <c r="V135" s="4">
        <f>Table13[[#This Row],[2023 Sales]]*2</f>
        <v>0</v>
      </c>
      <c r="W135" s="53">
        <f>IF(Table13[[#This Row],[Double 2023]]&lt;4000,4000,0)</f>
        <v>4000</v>
      </c>
      <c r="X135" s="4">
        <f>MAX(Table13[[#This Row],[Double 2023]:[Min 4K]])</f>
        <v>4000</v>
      </c>
      <c r="Y135" s="96">
        <f>IF(Table13[[#This Row],[Max of goals]]&gt;15000,15000,Table13[[#This Row],[Max of goals]])</f>
        <v>4000</v>
      </c>
    </row>
    <row r="136" spans="1:25" x14ac:dyDescent="0.25">
      <c r="A136" t="s">
        <v>357</v>
      </c>
      <c r="B136" t="s">
        <v>62</v>
      </c>
      <c r="C136" t="s">
        <v>125</v>
      </c>
      <c r="D136" t="s">
        <v>190</v>
      </c>
      <c r="E136" s="53">
        <v>6</v>
      </c>
      <c r="F136">
        <v>9</v>
      </c>
      <c r="G136" s="53"/>
      <c r="H136" s="53">
        <v>9</v>
      </c>
      <c r="I136" s="53">
        <v>11</v>
      </c>
      <c r="J136" s="53">
        <v>11</v>
      </c>
      <c r="K136" s="53">
        <v>11</v>
      </c>
      <c r="L136" s="53">
        <v>0</v>
      </c>
      <c r="M136" s="53">
        <f>Table13[[#This Row],[12/31/2023]]+1</f>
        <v>12</v>
      </c>
      <c r="N136" s="53">
        <f>Table13[[#This Row],[Recruited 23]]+1</f>
        <v>1</v>
      </c>
      <c r="O136" s="53">
        <f>IF(Table13[[#This Row],[Unit Type]]="Pack",10,12)</f>
        <v>12</v>
      </c>
      <c r="P136" s="53">
        <f>MAX(Table13[[#This Row],[Pack Recruit Goal]:[Min Recruit Goal]])</f>
        <v>12</v>
      </c>
      <c r="Q136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6" s="53">
        <f>Table13[[#This Row],[End Goal]]-Table13[[#This Row],[6/30/2023]]</f>
        <v>1</v>
      </c>
      <c r="S136" s="4">
        <v>0</v>
      </c>
      <c r="T136" s="4">
        <v>0</v>
      </c>
      <c r="V136" s="4">
        <f>Table13[[#This Row],[2023 Sales]]*2</f>
        <v>0</v>
      </c>
      <c r="W136" s="53">
        <f>IF(Table13[[#This Row],[Double 2023]]&lt;4000,4000,0)</f>
        <v>4000</v>
      </c>
      <c r="X136" s="4">
        <f>MAX(Table13[[#This Row],[Double 2023]:[Min 4K]])</f>
        <v>4000</v>
      </c>
      <c r="Y136" s="96">
        <f>IF(Table13[[#This Row],[Max of goals]]&gt;15000,15000,Table13[[#This Row],[Max of goals]])</f>
        <v>4000</v>
      </c>
    </row>
    <row r="137" spans="1:25" x14ac:dyDescent="0.25">
      <c r="A137" t="s">
        <v>358</v>
      </c>
      <c r="B137" t="s">
        <v>68</v>
      </c>
      <c r="C137" t="s">
        <v>125</v>
      </c>
      <c r="D137" t="s">
        <v>191</v>
      </c>
      <c r="E137" s="53">
        <v>14</v>
      </c>
      <c r="F137">
        <v>13</v>
      </c>
      <c r="G137" s="53"/>
      <c r="H137" s="53">
        <v>21</v>
      </c>
      <c r="I137" s="53">
        <v>20</v>
      </c>
      <c r="J137" s="53">
        <v>19</v>
      </c>
      <c r="K137" s="53">
        <v>11</v>
      </c>
      <c r="L137" s="53"/>
      <c r="M137" s="53">
        <f>Table13[[#This Row],[12/31/2023]]+1</f>
        <v>20</v>
      </c>
      <c r="N137" s="53">
        <f>Table13[[#This Row],[Recruited 23]]+1</f>
        <v>1</v>
      </c>
      <c r="O137" s="53">
        <f>IF(Table13[[#This Row],[Unit Type]]="Pack",10,12)</f>
        <v>12</v>
      </c>
      <c r="P137" s="53">
        <f>MAX(Table13[[#This Row],[Pack Recruit Goal]:[Min Recruit Goal]])</f>
        <v>12</v>
      </c>
      <c r="Q137" s="53">
        <f>IF(Table13[[#This Row],[Unit Type]]="Pack",Table13[[#This Row],[Pack Recruit Growth Goal]],IF(Table13[[#This Row],[Troop Growth Goal]]&gt;11,Table13[[#This Row],[Troop Growth Goal]],Table13[[#This Row],[Min Recruit Goal]]))</f>
        <v>20</v>
      </c>
      <c r="R137" s="53">
        <f>Table13[[#This Row],[End Goal]]-Table13[[#This Row],[6/30/2023]]</f>
        <v>0</v>
      </c>
      <c r="S137" s="4">
        <v>0</v>
      </c>
      <c r="T137" s="4">
        <v>0</v>
      </c>
      <c r="U137" s="4">
        <v>405</v>
      </c>
      <c r="V137" s="4">
        <f>Table13[[#This Row],[2023 Sales]]*2</f>
        <v>810</v>
      </c>
      <c r="W137" s="53">
        <f>IF(Table13[[#This Row],[Double 2023]]&lt;4000,4000,0)</f>
        <v>4000</v>
      </c>
      <c r="X137" s="4">
        <f>MAX(Table13[[#This Row],[Double 2023]:[Min 4K]])</f>
        <v>4000</v>
      </c>
      <c r="Y137" s="96">
        <f>IF(Table13[[#This Row],[Max of goals]]&gt;15000,15000,Table13[[#This Row],[Max of goals]])</f>
        <v>4000</v>
      </c>
    </row>
    <row r="138" spans="1:25" x14ac:dyDescent="0.25">
      <c r="A138" t="s">
        <v>359</v>
      </c>
      <c r="B138" t="s">
        <v>58</v>
      </c>
      <c r="C138" t="s">
        <v>125</v>
      </c>
      <c r="D138" t="s">
        <v>192</v>
      </c>
      <c r="E138" s="53">
        <v>5</v>
      </c>
      <c r="F138">
        <v>5</v>
      </c>
      <c r="G138" s="53"/>
      <c r="H138" s="53">
        <v>6</v>
      </c>
      <c r="I138" s="53">
        <v>3</v>
      </c>
      <c r="J138" s="53">
        <v>4</v>
      </c>
      <c r="K138" s="53">
        <v>4</v>
      </c>
      <c r="L138" s="53">
        <v>0</v>
      </c>
      <c r="M138" s="53">
        <f>Table13[[#This Row],[12/31/2023]]+1</f>
        <v>5</v>
      </c>
      <c r="N138" s="53">
        <f>Table13[[#This Row],[Recruited 23]]+1</f>
        <v>1</v>
      </c>
      <c r="O138" s="53">
        <f>IF(Table13[[#This Row],[Unit Type]]="Pack",10,12)</f>
        <v>12</v>
      </c>
      <c r="P138" s="53">
        <f>MAX(Table13[[#This Row],[Pack Recruit Goal]:[Min Recruit Goal]])</f>
        <v>12</v>
      </c>
      <c r="Q138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8" s="53">
        <f>Table13[[#This Row],[End Goal]]-Table13[[#This Row],[6/30/2023]]</f>
        <v>9</v>
      </c>
      <c r="S138" s="4">
        <v>0</v>
      </c>
      <c r="T138" s="4">
        <v>0</v>
      </c>
      <c r="V138" s="4">
        <f>Table13[[#This Row],[2023 Sales]]*2</f>
        <v>0</v>
      </c>
      <c r="W138" s="53">
        <f>IF(Table13[[#This Row],[Double 2023]]&lt;4000,4000,0)</f>
        <v>4000</v>
      </c>
      <c r="X138" s="4">
        <f>MAX(Table13[[#This Row],[Double 2023]:[Min 4K]])</f>
        <v>4000</v>
      </c>
      <c r="Y138" s="96">
        <f>IF(Table13[[#This Row],[Max of goals]]&gt;15000,15000,Table13[[#This Row],[Max of goals]])</f>
        <v>4000</v>
      </c>
    </row>
    <row r="139" spans="1:25" x14ac:dyDescent="0.25">
      <c r="A139" t="s">
        <v>360</v>
      </c>
      <c r="B139" t="s">
        <v>68</v>
      </c>
      <c r="C139" t="s">
        <v>125</v>
      </c>
      <c r="D139" t="s">
        <v>193</v>
      </c>
      <c r="E139" s="53">
        <v>5</v>
      </c>
      <c r="F139">
        <v>3</v>
      </c>
      <c r="G139" s="53"/>
      <c r="H139" s="53">
        <v>3</v>
      </c>
      <c r="I139" s="53">
        <v>2</v>
      </c>
      <c r="J139" s="53">
        <v>3</v>
      </c>
      <c r="K139" s="53">
        <v>4</v>
      </c>
      <c r="L139" s="53">
        <v>1</v>
      </c>
      <c r="M139" s="53">
        <f>Table13[[#This Row],[12/31/2023]]+1</f>
        <v>4</v>
      </c>
      <c r="N139" s="53">
        <f>Table13[[#This Row],[Recruited 23]]+1</f>
        <v>2</v>
      </c>
      <c r="O139" s="53">
        <f>IF(Table13[[#This Row],[Unit Type]]="Pack",10,12)</f>
        <v>12</v>
      </c>
      <c r="P139" s="53">
        <f>MAX(Table13[[#This Row],[Pack Recruit Goal]:[Min Recruit Goal]])</f>
        <v>12</v>
      </c>
      <c r="Q139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39" s="53">
        <f>Table13[[#This Row],[End Goal]]-Table13[[#This Row],[6/30/2023]]</f>
        <v>10</v>
      </c>
      <c r="S139" s="4">
        <v>0</v>
      </c>
      <c r="T139" s="4">
        <v>0</v>
      </c>
      <c r="V139" s="4">
        <f>Table13[[#This Row],[2023 Sales]]*2</f>
        <v>0</v>
      </c>
      <c r="W139" s="53">
        <f>IF(Table13[[#This Row],[Double 2023]]&lt;4000,4000,0)</f>
        <v>4000</v>
      </c>
      <c r="X139" s="4">
        <f>MAX(Table13[[#This Row],[Double 2023]:[Min 4K]])</f>
        <v>4000</v>
      </c>
      <c r="Y139" s="96">
        <f>IF(Table13[[#This Row],[Max of goals]]&gt;15000,15000,Table13[[#This Row],[Max of goals]])</f>
        <v>4000</v>
      </c>
    </row>
    <row r="140" spans="1:25" x14ac:dyDescent="0.25">
      <c r="A140" t="s">
        <v>361</v>
      </c>
      <c r="B140" t="s">
        <v>58</v>
      </c>
      <c r="C140" t="s">
        <v>125</v>
      </c>
      <c r="D140" t="s">
        <v>194</v>
      </c>
      <c r="E140" s="53">
        <v>11</v>
      </c>
      <c r="F140">
        <v>8</v>
      </c>
      <c r="G140" s="53"/>
      <c r="H140" s="53">
        <v>8</v>
      </c>
      <c r="I140" s="53">
        <v>9</v>
      </c>
      <c r="J140" s="53">
        <v>9</v>
      </c>
      <c r="K140" s="53">
        <v>4</v>
      </c>
      <c r="L140" s="53">
        <v>0</v>
      </c>
      <c r="M140" s="53">
        <f>Table13[[#This Row],[12/31/2023]]+1</f>
        <v>10</v>
      </c>
      <c r="N140" s="53">
        <f>Table13[[#This Row],[Recruited 23]]+1</f>
        <v>1</v>
      </c>
      <c r="O140" s="53">
        <f>IF(Table13[[#This Row],[Unit Type]]="Pack",10,12)</f>
        <v>12</v>
      </c>
      <c r="P140" s="53">
        <f>MAX(Table13[[#This Row],[Pack Recruit Goal]:[Min Recruit Goal]])</f>
        <v>12</v>
      </c>
      <c r="Q140" s="53">
        <f>IF(Table13[[#This Row],[Unit Type]]="Pack",Table13[[#This Row],[Pack Recruit Growth Goal]],IF(Table13[[#This Row],[Troop Growth Goal]]&gt;11,Table13[[#This Row],[Troop Growth Goal]],Table13[[#This Row],[Min Recruit Goal]]))</f>
        <v>12</v>
      </c>
      <c r="R140" s="53">
        <f>Table13[[#This Row],[End Goal]]-Table13[[#This Row],[6/30/2023]]</f>
        <v>3</v>
      </c>
      <c r="S140" s="4">
        <v>264.94</v>
      </c>
      <c r="T140" s="4">
        <v>25</v>
      </c>
      <c r="V140" s="4">
        <f>Table13[[#This Row],[2023 Sales]]*2</f>
        <v>0</v>
      </c>
      <c r="W140" s="53">
        <f>IF(Table13[[#This Row],[Double 2023]]&lt;4000,4000,0)</f>
        <v>4000</v>
      </c>
      <c r="X140" s="4">
        <f>MAX(Table13[[#This Row],[Double 2023]:[Min 4K]])</f>
        <v>4000</v>
      </c>
      <c r="Y140" s="96">
        <f>IF(Table13[[#This Row],[Max of goals]]&gt;15000,15000,Table13[[#This Row],[Max of goals]])</f>
        <v>4000</v>
      </c>
    </row>
  </sheetData>
  <phoneticPr fontId="30" type="noConversion"/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6DB2-8E35-458A-A025-380CA3489B25}">
  <dimension ref="A1:S8"/>
  <sheetViews>
    <sheetView workbookViewId="0">
      <selection activeCell="Q23" sqref="Q23"/>
    </sheetView>
  </sheetViews>
  <sheetFormatPr defaultRowHeight="15" x14ac:dyDescent="0.25"/>
  <cols>
    <col min="1" max="1" width="18" bestFit="1" customWidth="1"/>
    <col min="3" max="3" width="11.5703125" bestFit="1" customWidth="1"/>
    <col min="4" max="4" width="12.7109375" bestFit="1" customWidth="1"/>
    <col min="5" max="5" width="17.140625" customWidth="1"/>
    <col min="6" max="6" width="14.42578125" bestFit="1" customWidth="1"/>
    <col min="7" max="17" width="14.42578125" customWidth="1"/>
  </cols>
  <sheetData>
    <row r="1" spans="1:19" x14ac:dyDescent="0.25">
      <c r="A1" s="115" t="s">
        <v>4</v>
      </c>
      <c r="B1" s="115" t="s">
        <v>390</v>
      </c>
      <c r="C1" s="116">
        <v>10000</v>
      </c>
      <c r="D1" s="116" t="s">
        <v>392</v>
      </c>
      <c r="E1" s="115" t="s">
        <v>391</v>
      </c>
      <c r="F1" s="115" t="s">
        <v>393</v>
      </c>
      <c r="G1" s="125" t="s">
        <v>395</v>
      </c>
    </row>
    <row r="2" spans="1:19" x14ac:dyDescent="0.25">
      <c r="A2" s="117" t="s">
        <v>6</v>
      </c>
      <c r="B2" s="118">
        <v>0.16</v>
      </c>
      <c r="C2" s="119">
        <f>B2*$C$1</f>
        <v>1600</v>
      </c>
      <c r="D2" s="119">
        <v>15</v>
      </c>
      <c r="E2" s="115">
        <f>C2/D2</f>
        <v>106.66666666666667</v>
      </c>
      <c r="F2" s="120">
        <f>E2/$E$8</f>
        <v>0.22084195997239475</v>
      </c>
      <c r="G2" s="126">
        <f>E2/51</f>
        <v>2.0915032679738563</v>
      </c>
      <c r="H2" s="14"/>
      <c r="I2" s="14"/>
      <c r="J2" s="14"/>
      <c r="K2" s="14"/>
      <c r="L2" s="14"/>
      <c r="M2" s="14"/>
      <c r="N2" s="14"/>
      <c r="O2" s="14"/>
      <c r="P2" s="14"/>
      <c r="Q2" s="14"/>
      <c r="S2" t="s">
        <v>394</v>
      </c>
    </row>
    <row r="3" spans="1:19" x14ac:dyDescent="0.25">
      <c r="A3" s="117" t="s">
        <v>5</v>
      </c>
      <c r="B3" s="118">
        <v>0.05</v>
      </c>
      <c r="C3" s="119">
        <f t="shared" ref="C3:C7" si="0">B3*$C$1</f>
        <v>500</v>
      </c>
      <c r="D3" s="119">
        <v>15</v>
      </c>
      <c r="E3" s="115">
        <f t="shared" ref="E3:E7" si="1">C3/D3</f>
        <v>33.333333333333336</v>
      </c>
      <c r="F3" s="120">
        <f t="shared" ref="F3:F7" si="2">E3/$E$8</f>
        <v>6.901311249137336E-2</v>
      </c>
      <c r="G3" s="126">
        <f t="shared" ref="G3:G7" si="3">E3/51</f>
        <v>0.65359477124183007</v>
      </c>
      <c r="H3" s="14"/>
      <c r="I3" s="14"/>
      <c r="J3" s="14"/>
      <c r="K3" s="14"/>
      <c r="L3" s="14"/>
      <c r="M3" s="14"/>
      <c r="N3" s="14"/>
      <c r="O3" s="14"/>
      <c r="P3" s="14"/>
      <c r="Q3" s="14"/>
      <c r="S3">
        <v>51</v>
      </c>
    </row>
    <row r="4" spans="1:19" x14ac:dyDescent="0.25">
      <c r="A4" s="117" t="s">
        <v>0</v>
      </c>
      <c r="B4" s="118">
        <v>0.27</v>
      </c>
      <c r="C4" s="119">
        <f t="shared" si="0"/>
        <v>2700</v>
      </c>
      <c r="D4" s="119">
        <v>20</v>
      </c>
      <c r="E4" s="115">
        <f t="shared" si="1"/>
        <v>135</v>
      </c>
      <c r="F4" s="120">
        <f t="shared" si="2"/>
        <v>0.27950310559006208</v>
      </c>
      <c r="G4" s="126">
        <f t="shared" si="3"/>
        <v>2.6470588235294117</v>
      </c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9" x14ac:dyDescent="0.25">
      <c r="A5" s="117" t="s">
        <v>1</v>
      </c>
      <c r="B5" s="118">
        <v>0.21</v>
      </c>
      <c r="C5" s="119">
        <f t="shared" si="0"/>
        <v>2100</v>
      </c>
      <c r="D5" s="119">
        <v>25</v>
      </c>
      <c r="E5" s="115">
        <f t="shared" si="1"/>
        <v>84</v>
      </c>
      <c r="F5" s="120">
        <f t="shared" si="2"/>
        <v>0.17391304347826086</v>
      </c>
      <c r="G5" s="126">
        <f t="shared" si="3"/>
        <v>1.6470588235294117</v>
      </c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9" x14ac:dyDescent="0.25">
      <c r="A6" s="117" t="s">
        <v>219</v>
      </c>
      <c r="B6" s="118">
        <v>0.16</v>
      </c>
      <c r="C6" s="119">
        <f t="shared" si="0"/>
        <v>1600</v>
      </c>
      <c r="D6" s="119">
        <v>25</v>
      </c>
      <c r="E6" s="115">
        <f t="shared" si="1"/>
        <v>64</v>
      </c>
      <c r="F6" s="120">
        <f t="shared" si="2"/>
        <v>0.13250517598343686</v>
      </c>
      <c r="G6" s="126">
        <f t="shared" si="3"/>
        <v>1.2549019607843137</v>
      </c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9" x14ac:dyDescent="0.25">
      <c r="A7" s="117" t="s">
        <v>7</v>
      </c>
      <c r="B7" s="118">
        <v>0.15</v>
      </c>
      <c r="C7" s="119">
        <f t="shared" si="0"/>
        <v>1500</v>
      </c>
      <c r="D7" s="119">
        <v>25</v>
      </c>
      <c r="E7" s="115">
        <f t="shared" si="1"/>
        <v>60</v>
      </c>
      <c r="F7" s="120">
        <f t="shared" si="2"/>
        <v>0.12422360248447205</v>
      </c>
      <c r="G7" s="126">
        <f t="shared" si="3"/>
        <v>1.1764705882352942</v>
      </c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9" x14ac:dyDescent="0.25">
      <c r="A8" s="115"/>
      <c r="B8" s="115"/>
      <c r="C8" s="115"/>
      <c r="D8" s="115"/>
      <c r="E8" s="115">
        <f>SUM(E2:E7)</f>
        <v>483</v>
      </c>
      <c r="F8" s="1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DDF496B38684BB36406CD3EB10EB1" ma:contentTypeVersion="18" ma:contentTypeDescription="Create a new document." ma:contentTypeScope="" ma:versionID="4c765c5731cb2a294e7f1b51bfa5094b">
  <xsd:schema xmlns:xsd="http://www.w3.org/2001/XMLSchema" xmlns:xs="http://www.w3.org/2001/XMLSchema" xmlns:p="http://schemas.microsoft.com/office/2006/metadata/properties" xmlns:ns2="5c6da9ed-95ff-4dcf-aef2-e9bc45a7eb6e" xmlns:ns3="8d9b2737-bd80-45cb-8de2-affc6139d68f" targetNamespace="http://schemas.microsoft.com/office/2006/metadata/properties" ma:root="true" ma:fieldsID="9c17f7b23a47a21231b7def6947f22e7" ns2:_="" ns3:_="">
    <xsd:import namespace="5c6da9ed-95ff-4dcf-aef2-e9bc45a7eb6e"/>
    <xsd:import namespace="8d9b2737-bd80-45cb-8de2-affc6139d6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da9ed-95ff-4dcf-aef2-e9bc45a7e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b2737-bd80-45cb-8de2-affc6139d6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1dc1a6-416c-4c3f-b8dd-0cc7ede32858}" ma:internalName="TaxCatchAll" ma:showField="CatchAllData" ma:web="8d9b2737-bd80-45cb-8de2-affc6139d6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/ G n 6 U t Q 9 R Z O j A A A A 9 Q A A A B I A H A B D b 2 5 m a W c v U G F j a 2 F n Z S 5 4 b W w g o h g A K K A U A A A A A A A A A A A A A A A A A A A A A A A A A A A A h Y + x D o I w G I R f h X S n r d V B y U 8 Z X C U x I R r X p l R o h B 9 D i / B u D j 6 S r y B G U T f H + + 4 u u b t f b 5 A M d R V c T O t s g z G Z U U 4 C g 7 r J L R Y x 6 f w x X J J E w l b p k y p M M I b R R Y O z M S m 9 P 0 e M 9 X 1 P + z l t 2 o I J z m f s k G 4 y X Z p a h R a d V 6 g N + b T y / y 0 i Y f 8 a I w V d L a g Q g n J g E 4 P U 4 t c X 4 9 y n + w N h 3 V W + a 4 0 0 G O 4 y Y J M E 9 r 4 g H 1 B L A w Q U A A I A C A D 8 a f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G n 6 U i i K R 7 g O A A A A E Q A A A B M A H A B G b 3 J t d W x h c y 9 T Z W N 0 a W 9 u M S 5 t I K I Y A C i g F A A A A A A A A A A A A A A A A A A A A A A A A A A A A C t O T S 7 J z M 9 T C I b Q h t Y A U E s B A i 0 A F A A C A A g A / G n 6 U t Q 9 R Z O j A A A A 9 Q A A A B I A A A A A A A A A A A A A A A A A A A A A A E N v b m Z p Z y 9 Q Y W N r Y W d l L n h t b F B L A Q I t A B Q A A g A I A P x p + l I P y u m r p A A A A O k A A A A T A A A A A A A A A A A A A A A A A O 8 A A A B b Q 2 9 u d G V u d F 9 U e X B l c 1 0 u e G 1 s U E s B A i 0 A F A A C A A g A / G n 6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O 9 V W e z 9 O h x P 4 X H W V 8 C c A A A A A A g A A A A A A A 2 Y A A M A A A A A Q A A A A + s R B F W u y m W 1 P w u Z c c x d 8 c A A A A A A E g A A A o A A A A B A A A A D 1 f u u b e g 3 Q t A e I 0 T R 6 G O F w U A A A A D f t x h e J 8 x T R e f 0 K D m 0 2 Q s l M W p 5 w y G A 8 C 0 L 6 A 3 U 6 b P U E g e m C e E 1 5 5 R G B Q b M Q h X 1 q e + 5 I f T / U 8 M 3 9 g I L z 5 p A o N e D I f G g r 9 w L I q z 8 P 1 J v x 5 3 s f F A A A A M r W e 5 B q o q I s G X s + U R j h 9 L 8 B n h 2 H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5c6da9ed-95ff-4dcf-aef2-e9bc45a7eb6e" xsi:nil="true"/>
    <TaxCatchAll xmlns="8d9b2737-bd80-45cb-8de2-affc6139d68f" xsi:nil="true"/>
    <lcf76f155ced4ddcb4097134ff3c332f xmlns="5c6da9ed-95ff-4dcf-aef2-e9bc45a7eb6e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7DCA9E-9156-4AC9-867A-60F8F0F77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da9ed-95ff-4dcf-aef2-e9bc45a7eb6e"/>
    <ds:schemaRef ds:uri="8d9b2737-bd80-45cb-8de2-affc6139d6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842E2D-9834-4E04-AEFC-9F4D9F7EB31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C4A9E49-41AD-401A-A120-8C2D78DEB47A}">
  <ds:schemaRefs>
    <ds:schemaRef ds:uri="http://schemas.microsoft.com/office/2006/metadata/properties"/>
    <ds:schemaRef ds:uri="http://schemas.microsoft.com/office/infopath/2007/PartnerControls"/>
    <ds:schemaRef ds:uri="b7457197-917c-40b5-bfbb-288f8fe4a4f6"/>
    <ds:schemaRef ds:uri="050e1cd7-096f-4df7-a31a-7d7d4b9e4c8d"/>
    <ds:schemaRef ds:uri="5c6da9ed-95ff-4dcf-aef2-e9bc45a7eb6e"/>
    <ds:schemaRef ds:uri="8d9b2737-bd80-45cb-8de2-affc6139d68f"/>
  </ds:schemaRefs>
</ds:datastoreItem>
</file>

<file path=customXml/itemProps4.xml><?xml version="1.0" encoding="utf-8"?>
<ds:datastoreItem xmlns:ds="http://schemas.openxmlformats.org/officeDocument/2006/customXml" ds:itemID="{5F6AF39C-EC4A-44EE-A641-385441A2CA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Commission Details</vt:lpstr>
      <vt:lpstr>Show &amp; Deliver Kit</vt:lpstr>
      <vt:lpstr>Storefront </vt:lpstr>
      <vt:lpstr>Final Order</vt:lpstr>
      <vt:lpstr>Data</vt:lpstr>
      <vt:lpstr>Sheet2</vt:lpstr>
      <vt:lpstr>'Commission Details'!Print_Area</vt:lpstr>
      <vt:lpstr>'Final Order'!Print_Area</vt:lpstr>
      <vt:lpstr>'Show &amp; Deliver Kit'!Print_Area</vt:lpstr>
      <vt:lpstr>'Storefront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Brandon Vavra</dc:creator>
  <cp:lastModifiedBy>Brandon Vavra</cp:lastModifiedBy>
  <cp:lastPrinted>2024-07-29T20:57:24Z</cp:lastPrinted>
  <dcterms:created xsi:type="dcterms:W3CDTF">2021-07-26T14:17:05Z</dcterms:created>
  <dcterms:modified xsi:type="dcterms:W3CDTF">2024-07-30T16:49:52Z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0x01010007ADDF496B38684BB36406CD3EB10EB1</vt:lpwstr>
  </property>
  <property fmtid="{D5CDD505-2E9C-101B-9397-08002B2CF9AE}" pid="3" name="Order">
    <vt:r8>9229100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